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jenni\Downloads\"/>
    </mc:Choice>
  </mc:AlternateContent>
  <xr:revisionPtr revIDLastSave="0" documentId="8_{E8D090FC-758D-4793-A277-34AC9E66309E}" xr6:coauthVersionLast="47" xr6:coauthVersionMax="47" xr10:uidLastSave="{00000000-0000-0000-0000-000000000000}"/>
  <bookViews>
    <workbookView xWindow="-98" yWindow="-98" windowWidth="19396" windowHeight="11475" tabRatio="500" xr2:uid="{00000000-000D-0000-FFFF-FFFF00000000}"/>
  </bookViews>
  <sheets>
    <sheet name="Start Here" sheetId="1" r:id="rId1"/>
    <sheet name="MF Analyzer" sheetId="2" r:id="rId2"/>
    <sheet name="10-Year Proforma" sheetId="3" r:id="rId3"/>
    <sheet name="Partnership Split" sheetId="4" r:id="rId4"/>
    <sheet name="Tax Savings" sheetId="5" r:id="rId5"/>
  </sheets>
  <calcPr calcId="18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C7" i="5" l="1"/>
  <c r="C6" i="5"/>
  <c r="C5" i="5"/>
  <c r="C8" i="4"/>
  <c r="D33" i="2"/>
  <c r="I14" i="2"/>
  <c r="H14" i="2"/>
  <c r="G14" i="2"/>
  <c r="D13" i="2"/>
  <c r="D12" i="2"/>
  <c r="C14" i="5" l="1"/>
  <c r="C15" i="5" s="1"/>
  <c r="C16" i="5" s="1"/>
  <c r="C17" i="5" s="1"/>
  <c r="D15" i="2"/>
  <c r="D14" i="2"/>
  <c r="D16" i="2" s="1"/>
  <c r="I32" i="2" s="1"/>
  <c r="D19" i="2"/>
  <c r="I18" i="2"/>
  <c r="P18" i="3" l="1"/>
  <c r="C5" i="4"/>
  <c r="P28" i="3"/>
  <c r="D10" i="3"/>
  <c r="E10" i="3"/>
  <c r="F10" i="3"/>
  <c r="G10" i="3"/>
  <c r="H10" i="3"/>
  <c r="I10" i="3"/>
  <c r="J10" i="3"/>
  <c r="K10" i="3"/>
  <c r="L10" i="3"/>
  <c r="M10" i="3"/>
  <c r="D12" i="3"/>
  <c r="E12" i="3"/>
  <c r="F12" i="3"/>
  <c r="G12" i="3"/>
  <c r="H12" i="3"/>
  <c r="C20" i="3" s="1"/>
  <c r="I12" i="3"/>
  <c r="J12" i="3"/>
  <c r="K12" i="3"/>
  <c r="L12" i="3"/>
  <c r="M12" i="3"/>
  <c r="C30" i="3" s="1"/>
  <c r="D23" i="2"/>
  <c r="D24" i="2" s="1"/>
  <c r="I23" i="2" s="1"/>
  <c r="I19" i="2"/>
  <c r="I20" i="2"/>
  <c r="E5" i="3"/>
  <c r="J5" i="3"/>
  <c r="K5" i="3"/>
  <c r="L5" i="3"/>
  <c r="M5" i="3"/>
  <c r="B2" i="2"/>
  <c r="I31" i="2"/>
  <c r="D5" i="3"/>
  <c r="F5" i="3"/>
  <c r="G5" i="3"/>
  <c r="H5" i="3"/>
  <c r="I5" i="3"/>
  <c r="C13" i="4" l="1"/>
  <c r="C12" i="4"/>
  <c r="D35" i="2"/>
  <c r="E6" i="3"/>
  <c r="E7" i="3"/>
  <c r="J6" i="3"/>
  <c r="J7" i="3"/>
  <c r="K6" i="3"/>
  <c r="L6" i="3"/>
  <c r="L7" i="3"/>
  <c r="M6" i="3"/>
  <c r="M7" i="3"/>
  <c r="D6" i="3"/>
  <c r="D7" i="3"/>
  <c r="F6" i="3"/>
  <c r="G6" i="3"/>
  <c r="G7" i="3"/>
  <c r="H6" i="3"/>
  <c r="H7" i="3"/>
  <c r="I6" i="3"/>
  <c r="I7" i="3"/>
  <c r="D8" i="3" l="1"/>
  <c r="D9" i="3" s="1"/>
  <c r="E8" i="3"/>
  <c r="E9" i="3" s="1"/>
  <c r="F8" i="3"/>
  <c r="G8" i="3"/>
  <c r="G9" i="3" s="1"/>
  <c r="H8" i="3"/>
  <c r="H9" i="3" s="1"/>
  <c r="I8" i="3"/>
  <c r="I9" i="3" s="1"/>
  <c r="J8" i="3"/>
  <c r="J9" i="3" s="1"/>
  <c r="K8" i="3"/>
  <c r="L8" i="3"/>
  <c r="L9" i="3" s="1"/>
  <c r="M8" i="3"/>
  <c r="M9" i="3" s="1"/>
  <c r="I33" i="2"/>
  <c r="I21" i="2"/>
  <c r="I22" i="2" s="1"/>
  <c r="I30" i="2"/>
  <c r="E11" i="3"/>
  <c r="E13" i="3"/>
  <c r="E14" i="3" s="1"/>
  <c r="J11" i="3"/>
  <c r="W28" i="3" s="1"/>
  <c r="J13" i="3"/>
  <c r="J14" i="3" s="1"/>
  <c r="L11" i="3"/>
  <c r="Y28" i="3" s="1"/>
  <c r="L13" i="3"/>
  <c r="L14" i="3" s="1"/>
  <c r="M11" i="3"/>
  <c r="D11" i="3"/>
  <c r="D13" i="3"/>
  <c r="D14" i="3" s="1"/>
  <c r="G11" i="3"/>
  <c r="G13" i="3"/>
  <c r="G14" i="3" s="1"/>
  <c r="H11" i="3"/>
  <c r="H13" i="3"/>
  <c r="I11" i="3"/>
  <c r="V28" i="3" s="1"/>
  <c r="I13" i="3"/>
  <c r="I14" i="3" s="1"/>
  <c r="K7" i="3"/>
  <c r="K9" i="3" s="1"/>
  <c r="F7" i="3"/>
  <c r="F9" i="3" s="1"/>
  <c r="I29" i="2" l="1"/>
  <c r="H4" i="2" s="1"/>
  <c r="I27" i="2"/>
  <c r="D4" i="2" s="1"/>
  <c r="I24" i="2"/>
  <c r="R28" i="3"/>
  <c r="R18" i="3"/>
  <c r="Q28" i="3"/>
  <c r="Q18" i="3"/>
  <c r="T28" i="3"/>
  <c r="T18" i="3"/>
  <c r="U28" i="3"/>
  <c r="U18" i="3"/>
  <c r="H14" i="3"/>
  <c r="C18" i="3"/>
  <c r="C19" i="3"/>
  <c r="C21" i="3"/>
  <c r="K13" i="3"/>
  <c r="K14" i="3" s="1"/>
  <c r="K11" i="3"/>
  <c r="X28" i="3" s="1"/>
  <c r="F13" i="3"/>
  <c r="F14" i="3" s="1"/>
  <c r="F11" i="3"/>
  <c r="M13" i="3"/>
  <c r="I28" i="2" l="1"/>
  <c r="B4" i="2" s="1"/>
  <c r="F4" i="2"/>
  <c r="S28" i="3"/>
  <c r="C36" i="3" s="1"/>
  <c r="S18" i="3"/>
  <c r="C26" i="3" s="1"/>
  <c r="Z28" i="3"/>
  <c r="M14" i="3"/>
  <c r="F6" i="4"/>
  <c r="C31" i="3"/>
  <c r="C29" i="3"/>
  <c r="C28" i="3"/>
  <c r="C32" i="3"/>
  <c r="F5" i="4"/>
  <c r="F7" i="4" s="1"/>
  <c r="F8" i="4" s="1"/>
  <c r="C22" i="3"/>
  <c r="C35" i="3" l="1"/>
  <c r="C34" i="3"/>
  <c r="C33" i="3"/>
  <c r="C14" i="4"/>
  <c r="F12" i="4"/>
  <c r="C25" i="3"/>
  <c r="C24" i="3"/>
  <c r="C23" i="3"/>
  <c r="C15" i="4" l="1"/>
  <c r="C17" i="4" s="1"/>
  <c r="C16" i="4"/>
  <c r="C18" i="4" s="1"/>
  <c r="F13" i="4"/>
  <c r="F1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Addicted to ROI</author>
  </authors>
  <commentList>
    <comment ref="B7" authorId="0" shapeId="0" xr:uid="{00000000-0006-0000-0100-000001000000}">
      <text>
        <r>
          <rPr>
            <sz val="10"/>
            <rFont val="Arial"/>
            <family val="2"/>
          </rPr>
          <t>Total number of rentable units in the property.</t>
        </r>
      </text>
    </comment>
    <comment ref="F8" authorId="0" shapeId="0" xr:uid="{00000000-0006-0000-0100-00000C000000}">
      <text>
        <r>
          <rPr>
            <sz val="10"/>
            <rFont val="Arial"/>
            <family val="2"/>
          </rPr>
          <t>Enter each unit type (e.g. 1x1, 2x1), how many of that type, and the current vs market monthly rent per unit.</t>
        </r>
      </text>
    </comment>
    <comment ref="B9" authorId="0" shapeId="0" xr:uid="{00000000-0006-0000-0100-000002000000}">
      <text>
        <r>
          <rPr>
            <sz val="10"/>
            <rFont val="Arial"/>
            <family val="2"/>
          </rPr>
          <t>Your purchase price. Drives loan, cap rate, and price per unit.</t>
        </r>
      </text>
    </comment>
    <comment ref="B10" authorId="0" shapeId="0" xr:uid="{00000000-0006-0000-0100-000003000000}">
      <text>
        <r>
          <rPr>
            <sz val="10"/>
            <rFont val="Arial"/>
            <family val="2"/>
          </rPr>
          <t>Total capital improvement / reposition budget.</t>
        </r>
      </text>
    </comment>
    <comment ref="B11" authorId="0" shapeId="0" xr:uid="{00000000-0006-0000-0100-000004000000}">
      <text>
        <r>
          <rPr>
            <sz val="10"/>
            <rFont val="Arial"/>
            <family val="2"/>
          </rPr>
          <t>Yes = renovations are rolled into the loan. No = paid from your cash to close.</t>
        </r>
      </text>
    </comment>
    <comment ref="C12" authorId="0" shapeId="0" xr:uid="{00000000-0006-0000-0100-00000A000000}">
      <text>
        <r>
          <rPr>
            <sz val="10"/>
            <rFont val="Arial"/>
            <family val="2"/>
          </rPr>
          <t>Equity as a percent of price (plus financed reno). Commercial MF is often 25-35% down.</t>
        </r>
      </text>
    </comment>
    <comment ref="C13" authorId="0" shapeId="0" xr:uid="{00000000-0006-0000-0100-00000B000000}">
      <text>
        <r>
          <rPr>
            <sz val="10"/>
            <rFont val="Arial"/>
            <family val="2"/>
          </rPr>
          <t>Closing + financing + due diligence costs as a percent of price (loan fees, legal, title, inspections).</t>
        </r>
      </text>
    </comment>
    <comment ref="B15" authorId="0" shapeId="0" xr:uid="{00000000-0006-0000-0100-000005000000}">
      <text>
        <r>
          <rPr>
            <sz val="10"/>
            <rFont val="Arial"/>
            <family val="2"/>
          </rPr>
          <t>Equity + acquisition costs + (reno if not financed). This is the denominator for cash-on-cash.</t>
        </r>
      </text>
    </comment>
    <comment ref="F15" authorId="0" shapeId="0" xr:uid="{00000000-0006-0000-0100-00000D000000}">
      <text>
        <r>
          <rPr>
            <sz val="10"/>
            <rFont val="Arial"/>
            <family val="2"/>
          </rPr>
          <t>Laundry, parking, storage, fees, RUBS, etc. (current and market).</t>
        </r>
      </text>
    </comment>
    <comment ref="B22" authorId="0" shapeId="0" xr:uid="{00000000-0006-0000-0100-000006000000}">
      <text>
        <r>
          <rPr>
            <sz val="10"/>
            <rFont val="Arial"/>
            <family val="2"/>
          </rPr>
          <t>Number of interest-only years before the loan amortizes. 0 = amortizing from day one. Enter your full term (e.g. 30) for a fully interest-only loan. During IO years you pay interest only and the balance does not pay down.</t>
        </r>
      </text>
    </comment>
    <comment ref="B27" authorId="0" shapeId="0" xr:uid="{00000000-0006-0000-0100-000007000000}">
      <text>
        <r>
          <rPr>
            <sz val="10"/>
            <rFont val="Arial"/>
            <family val="2"/>
          </rPr>
          <t>Verify the post-sale reassessed amount.</t>
        </r>
      </text>
    </comment>
    <comment ref="F29" authorId="0" shapeId="0" xr:uid="{00000000-0006-0000-0100-00000E000000}">
      <text>
        <r>
          <rPr>
            <sz val="10"/>
            <rFont val="Arial"/>
            <family val="2"/>
          </rPr>
          <t>NOI / annual debt service. Commercial lenders typically require 1.20-1.25x.</t>
        </r>
      </text>
    </comment>
    <comment ref="B32" authorId="0" shapeId="0" xr:uid="{00000000-0006-0000-0100-000008000000}">
      <text>
        <r>
          <rPr>
            <sz val="10"/>
            <rFont val="Arial"/>
            <family val="2"/>
          </rPr>
          <t>Administrative, on-site payroll, and contract services (landscaping, etc.) per year.</t>
        </r>
      </text>
    </comment>
    <comment ref="F33" authorId="0" shapeId="0" xr:uid="{00000000-0006-0000-0100-00000F000000}">
      <text>
        <r>
          <rPr>
            <sz val="10"/>
            <rFont val="Arial"/>
            <family val="2"/>
          </rPr>
          <t>Occupancy needed to cover all expenses + debt. Lower is safer.</t>
        </r>
      </text>
    </comment>
    <comment ref="B40" authorId="0" shapeId="0" xr:uid="{00000000-0006-0000-0100-000009000000}">
      <text>
        <r>
          <rPr>
            <sz val="10"/>
            <rFont val="Arial"/>
            <family val="2"/>
          </rPr>
          <t>Cap rate a buyer pays at sale. Higher than today's = conservative. Drives the exit value.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Addicted to ROI</author>
  </authors>
  <commentList>
    <comment ref="B5" authorId="0" shapeId="0" xr:uid="{00000000-0006-0000-0300-000001000000}">
      <text>
        <r>
          <rPr>
            <sz val="10"/>
            <rFont val="Arial"/>
            <family val="2"/>
          </rPr>
          <t>Pulled from Total Cash to Close on the MF Analyzer. This is the equity the partnership must raise.</t>
        </r>
      </text>
    </comment>
    <comment ref="B6" authorId="0" shapeId="0" xr:uid="{00000000-0006-0000-0300-000002000000}">
      <text>
        <r>
          <rPr>
            <sz val="10"/>
            <rFont val="Arial"/>
            <family val="2"/>
          </rPr>
          <t>Annual return investors receive before any profit split (non-compounding here for simplicity).</t>
        </r>
      </text>
    </comment>
    <comment ref="B13" authorId="0" shapeId="0" xr:uid="{00000000-0006-0000-0300-000003000000}">
      <text>
        <r>
          <rPr>
            <sz val="10"/>
            <rFont val="Arial"/>
            <family val="2"/>
          </rPr>
          <t>Equity x pref% x years (simple, non-compounding estimate).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Addicted to ROI</author>
  </authors>
  <commentList>
    <comment ref="B8" authorId="0" shapeId="0" xr:uid="{00000000-0006-0000-0400-000001000000}">
      <text>
        <r>
          <rPr>
            <sz val="10"/>
            <rFont val="Arial"/>
            <family val="2"/>
          </rPr>
          <t>Land isn't depreciable. Typically ~20% of price; use your assessor's land/improvement split.</t>
        </r>
      </text>
    </comment>
    <comment ref="B9" authorId="0" shapeId="0" xr:uid="{00000000-0006-0000-0400-000002000000}">
      <text>
        <r>
          <rPr>
            <sz val="10"/>
            <rFont val="Arial"/>
            <family val="2"/>
          </rPr>
          <t>Share of building basis a cost segregation study reclassifies to 5- and 15-year property (eligible for bonus). Often 20-35%.</t>
        </r>
      </text>
    </comment>
    <comment ref="B10" authorId="0" shapeId="0" xr:uid="{00000000-0006-0000-0400-000003000000}">
      <text>
        <r>
          <rPr>
            <sz val="10"/>
            <rFont val="Arial"/>
            <family val="2"/>
          </rPr>
          <t>100% for property placed in service after Jan 19, 2025 under the One Big Beautiful Bill (2025). Adjust for your placed-in-service date.</t>
        </r>
      </text>
    </comment>
    <comment ref="B11" authorId="0" shapeId="0" xr:uid="{00000000-0006-0000-0400-000004000000}">
      <text>
        <r>
          <rPr>
            <sz val="10"/>
            <rFont val="Arial"/>
            <family val="2"/>
          </rPr>
          <t>Combined federal (+ state) marginal rate the deduction offsets.</t>
        </r>
      </text>
    </comment>
    <comment ref="B16" authorId="0" shapeId="0" xr:uid="{00000000-0006-0000-0400-000005000000}">
      <text>
        <r>
          <rPr>
            <sz val="10"/>
            <rFont val="Arial"/>
            <family val="2"/>
          </rPr>
          <t>The chunk you can deduct in year one via bonus depreciation on short-life property and furniture.</t>
        </r>
      </text>
    </comment>
    <comment ref="B17" authorId="0" shapeId="0" xr:uid="{00000000-0006-0000-0400-000006000000}">
      <text>
        <r>
          <rPr>
            <sz val="10"/>
            <rFont val="Arial"/>
            <family val="2"/>
          </rPr>
          <t>Year-1 bonus depreciation x your marginal tax rate.</t>
        </r>
      </text>
    </comment>
  </commentList>
</comments>
</file>

<file path=xl/sharedStrings.xml><?xml version="1.0" encoding="utf-8"?>
<sst xmlns="http://schemas.openxmlformats.org/spreadsheetml/2006/main" count="180" uniqueCount="165">
  <si>
    <t>ADDICTED TO ROI</t>
  </si>
  <si>
    <t>Multifamily Deal Calculator  -  addictedtoroi.com</t>
  </si>
  <si>
    <t>Underwrite a small or mid-size multifamily deal: unit-mix rent roll, financing, year-1 returns, a 10-year proforma with 5- and 10-year exit scenarios (IRR + equity multiple), and a partnership split.</t>
  </si>
  <si>
    <t>Reading the cells</t>
  </si>
  <si>
    <t>Darker teal = type your deal here (starts blank).</t>
  </si>
  <si>
    <t>Lighter teal = an assumption you enter (rate, %, fees). Typical ranges are in the hover notes.</t>
  </si>
  <si>
    <t>White = calculated automatically. Hover red-corner cells for notes.</t>
  </si>
  <si>
    <t>Tabs</t>
  </si>
  <si>
    <t>MF Analyzer</t>
  </si>
  <si>
    <t>Property, rent roll, financing, expenses, and year-1 returns.</t>
  </si>
  <si>
    <t>10-Year Proforma</t>
  </si>
  <si>
    <t>Year-by-year income, expenses, cash flow, value, and exit scenarios with IRR.</t>
  </si>
  <si>
    <t>Partnership Split</t>
  </si>
  <si>
    <t>Estimate how returns split between investors (LP) and you (GP).</t>
  </si>
  <si>
    <t>DISCLAIMER: Provided by Addicted to ROI (Agents Invest LLC) for educational and estimation purposes only. Not financial, investment, tax, or legal advice, and not an offer to sell securities. Projections are estimates based on your inputs and are not guaranteed. The partnership split is a simplified illustration, not a substitute for a real operating agreement/PPM. Verify all figures and consult qualified professionals. (c) Addicted to ROI - addictedtoroi.com</t>
  </si>
  <si>
    <t>ADDICTED TO ROI TOOLS TO RUN THIS PLAY</t>
  </si>
  <si>
    <t>DoorProfit</t>
  </si>
  <si>
    <t>Check neighborhood crime ratings &amp; area data before you buy.</t>
  </si>
  <si>
    <t>REPS Time</t>
  </si>
  <si>
    <t>Track hours to qualify for Real Estate Professional Status &amp; unlock bonus depreciation.</t>
  </si>
  <si>
    <t>STR Loophole</t>
  </si>
  <si>
    <t>Track material-participation hours for the short-term rental tax loophole.</t>
  </si>
  <si>
    <t>RentStager</t>
  </si>
  <si>
    <t>Virtually stage your photos for faster leasing and higher rents.</t>
  </si>
  <si>
    <t>Kids Payroll</t>
  </si>
  <si>
    <t>Put your kids on payroll the right way and shift income tax-free.</t>
  </si>
  <si>
    <t>ADDICTED TO ROI  -  MULTIFAMILY CALCULATOR</t>
  </si>
  <si>
    <t>CASH-ON-CASH</t>
  </si>
  <si>
    <t>CAP RATE</t>
  </si>
  <si>
    <t>ANNUAL CASH FLOW</t>
  </si>
  <si>
    <t>DSCR</t>
  </si>
  <si>
    <t>Property Address</t>
  </si>
  <si>
    <t>Rents &gt;</t>
  </si>
  <si>
    <t>Proforma</t>
  </si>
  <si>
    <t>PROPERTY &amp; PURCHASE</t>
  </si>
  <si>
    <t>UNIT MIX / RENT ROLL  (monthly rent per unit)</t>
  </si>
  <si>
    <t>Number of Units</t>
  </si>
  <si>
    <t>Unit Type</t>
  </si>
  <si>
    <t># Units</t>
  </si>
  <si>
    <t>Current</t>
  </si>
  <si>
    <t>Market</t>
  </si>
  <si>
    <t>Asking Price</t>
  </si>
  <si>
    <t>Purchase / Offer Price</t>
  </si>
  <si>
    <t>Renovations (total)</t>
  </si>
  <si>
    <t>Finance Renovations?</t>
  </si>
  <si>
    <t>Down Payment / Equity</t>
  </si>
  <si>
    <t>Acquisition Costs</t>
  </si>
  <si>
    <t>Total Project Cost</t>
  </si>
  <si>
    <t>Totals</t>
  </si>
  <si>
    <t>Total Cash to Close</t>
  </si>
  <si>
    <t>Other Monthly Income</t>
  </si>
  <si>
    <t>All-In Price / Unit</t>
  </si>
  <si>
    <t>YEAR-1 RETURNS</t>
  </si>
  <si>
    <t>FINANCING</t>
  </si>
  <si>
    <t>Gross Scheduled Income</t>
  </si>
  <si>
    <t>Loan Amount</t>
  </si>
  <si>
    <t>Less: Vacancy</t>
  </si>
  <si>
    <t>Interest Rate</t>
  </si>
  <si>
    <t>Effective Gross Income</t>
  </si>
  <si>
    <t>Amortization (Years)</t>
  </si>
  <si>
    <t>Less: Operating Expenses</t>
  </si>
  <si>
    <t>Interest-Only Years (0-30)</t>
  </si>
  <si>
    <t>Net Operating Income</t>
  </si>
  <si>
    <t>Monthly Loan Payment</t>
  </si>
  <si>
    <t>Less: Annual Debt Service</t>
  </si>
  <si>
    <t>Annual Debt Service</t>
  </si>
  <si>
    <t>Annual Cash Flow</t>
  </si>
  <si>
    <t>OPERATING EXPENSES (annual)</t>
  </si>
  <si>
    <t>KEY METRICS</t>
  </si>
  <si>
    <t>Property Taxes</t>
  </si>
  <si>
    <t>Cap Rate (on price)</t>
  </si>
  <si>
    <t>Insurance</t>
  </si>
  <si>
    <t>Cash-on-Cash Return</t>
  </si>
  <si>
    <t>Property Management (% EGI)</t>
  </si>
  <si>
    <t>Repairs &amp; Maint (% of income)</t>
  </si>
  <si>
    <t>Operating Expense Ratio</t>
  </si>
  <si>
    <t>Utilities (owner-paid)</t>
  </si>
  <si>
    <t>Gross Rent Multiplier</t>
  </si>
  <si>
    <t>Admin / Payroll / Contract</t>
  </si>
  <si>
    <t>CapEx Reserve (per unit/yr)</t>
  </si>
  <si>
    <t>Break-even Occupancy</t>
  </si>
  <si>
    <t>Vacancy Rate</t>
  </si>
  <si>
    <t>Total Annual Operating Expenses</t>
  </si>
  <si>
    <t>GROWTH &amp; EXIT ASSUMPTIONS</t>
  </si>
  <si>
    <t>Annual Rent Growth</t>
  </si>
  <si>
    <t>Annual Expense Growth</t>
  </si>
  <si>
    <t>Exit / Sale Cap Rate</t>
  </si>
  <si>
    <t>Selling Costs (% of sale)</t>
  </si>
  <si>
    <t>Educational &amp; estimation tool only - not financial, tax, or legal advice. Verify all figures during due diligence. (c) Addicted to ROI - addictedtoroi.com</t>
  </si>
  <si>
    <t>ADDICTED TO ROI  -  10-YEAR PROFORMA</t>
  </si>
  <si>
    <t>Projected from the MF Analyzer inputs and growth assumptions. Amortizing debt assumed for the proforma.</t>
  </si>
  <si>
    <t>Metric</t>
  </si>
  <si>
    <t>Year 1</t>
  </si>
  <si>
    <t>Year 2</t>
  </si>
  <si>
    <t>Year 3</t>
  </si>
  <si>
    <t>Year 4</t>
  </si>
  <si>
    <t>Year 5</t>
  </si>
  <si>
    <t>Year 6</t>
  </si>
  <si>
    <t>Year 7</t>
  </si>
  <si>
    <t>Year 8</t>
  </si>
  <si>
    <t>Year 9</t>
  </si>
  <si>
    <t>Year 10</t>
  </si>
  <si>
    <t>Operating Expenses</t>
  </si>
  <si>
    <t>Debt Service</t>
  </si>
  <si>
    <t>Cash Flow</t>
  </si>
  <si>
    <t>Loan Balance (EOY)</t>
  </si>
  <si>
    <t>Property Value (exit cap)</t>
  </si>
  <si>
    <t>Equity</t>
  </si>
  <si>
    <t>EXIT IN YEAR 5</t>
  </si>
  <si>
    <t>Sale Price (NOI / exit cap)</t>
  </si>
  <si>
    <t>Less: Selling Costs</t>
  </si>
  <si>
    <t>Less: Loan Payoff</t>
  </si>
  <si>
    <t>Net Sale Proceeds</t>
  </si>
  <si>
    <t>Total Cash Flow Collected</t>
  </si>
  <si>
    <t>Total Profit</t>
  </si>
  <si>
    <t>Equity Multiple</t>
  </si>
  <si>
    <t>Avg Annual Cash-on-Cash</t>
  </si>
  <si>
    <t>Internal Rate of Return (IRR)</t>
  </si>
  <si>
    <t>EXIT IN YEAR 10</t>
  </si>
  <si>
    <t>ADDICTED TO ROI  -  PARTNERSHIP SPLIT (SIMPLIFIED)</t>
  </si>
  <si>
    <t>A simplified estimate of how a 10-year hold (sell in Year 10) splits between investors (LP) and you (GP). Not a substitute for an operating agreement / PPM.</t>
  </si>
  <si>
    <t>DEAL INPUTS</t>
  </si>
  <si>
    <t>DEAL TOTALS (10-yr hold)</t>
  </si>
  <si>
    <t>Total Equity Raised</t>
  </si>
  <si>
    <t>Total Cash Flow (hold)</t>
  </si>
  <si>
    <t>Preferred Return to LPs</t>
  </si>
  <si>
    <t>Net Sale Proceeds (Yr10)</t>
  </si>
  <si>
    <t>LP Profit Split (after pref)</t>
  </si>
  <si>
    <t>Total Distributable</t>
  </si>
  <si>
    <t>GP Profit Split (after pref)</t>
  </si>
  <si>
    <t>Total Profit (over equity)</t>
  </si>
  <si>
    <t>Hold Period (years)</t>
  </si>
  <si>
    <t>INVESTOR (LP) RETURNS</t>
  </si>
  <si>
    <t>SPONSOR (GP) RETURNS</t>
  </si>
  <si>
    <t>Capital Returned</t>
  </si>
  <si>
    <t>GP Share of Remaining Profit</t>
  </si>
  <si>
    <t>Preferred Return (total)</t>
  </si>
  <si>
    <t>GP Total Profit</t>
  </si>
  <si>
    <t>LP Share of Remaining Profit</t>
  </si>
  <si>
    <t>GP Share of Total Profit</t>
  </si>
  <si>
    <t>LP Total Received</t>
  </si>
  <si>
    <t>LP Profit (over capital)</t>
  </si>
  <si>
    <t>LP Equity Multiple</t>
  </si>
  <si>
    <t>LP Avg Annual Return</t>
  </si>
  <si>
    <t>Simplified illustration only. A real waterfall may compound the preferred return, return capital before pref, include catch-ups, tiered/IRR hurdles, and fees (acquisition, asset management, disposition). Use this to gut-check a structure, not to paper a deal. (c) Addicted to ROI - addictedtoroi.com</t>
  </si>
  <si>
    <t>ADDICTED TO ROI  -  TAX SAVINGS (BONUS DEPRECIATION)</t>
  </si>
  <si>
    <t>Estimate first-year depreciation from a cost segregation study, and the tax it could save. Estimate only - get a cost seg study and a CPA.</t>
  </si>
  <si>
    <t>YOUR NUMBERS</t>
  </si>
  <si>
    <t>HOW TO ACTUALLY USE THESE LOSSES</t>
  </si>
  <si>
    <t>Purchase Price</t>
  </si>
  <si>
    <t>Depreciation creates a paper loss. To deduct it against your W-2 / active income (not just passive income), the activity must be non-passive. Two paths:</t>
  </si>
  <si>
    <t>Renovations / Improvements</t>
  </si>
  <si>
    <t>Furniture &amp; Equipment (5-yr)</t>
  </si>
  <si>
    <t>Land Allocation (% of price)</t>
  </si>
  <si>
    <t>REPS Time - repstime.com</t>
  </si>
  <si>
    <t>Cost Seg: % to 5/15-yr (short-life)</t>
  </si>
  <si>
    <t>Real Estate Professional Status: 750+ hours and material participation. Track hours with REPS Time.</t>
  </si>
  <si>
    <t>Bonus Depreciation %</t>
  </si>
  <si>
    <t>Your Marginal Tax Rate</t>
  </si>
  <si>
    <t>ESTIMATED FIRST-YEAR DEPRECIATION</t>
  </si>
  <si>
    <t>Depreciable Building Basis</t>
  </si>
  <si>
    <t>Short-Life Basis (5/15-yr) + Furniture</t>
  </si>
  <si>
    <t>Year-1 Bonus Depreciation</t>
  </si>
  <si>
    <t>Estimated Year-1 Tax Savings</t>
  </si>
  <si>
    <t>Estimate only. Not tax advice. Bonus depreciation requires a cost segregation study and recapture applies on sale. Consult a CPA. (c) Addicted to ROI - addictedtoroi.com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</si>
</sst>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quot;($&quot;#,##0\);\-"/>
    <numFmt numFmtId="166" formatCode="0.00\x"/>
    <numFmt numFmtId="167" formatCode="\$#,##0.00;&quot;($&quot;#,##0.00\);\-"/>
    <numFmt numFmtId="168" formatCode="0.0"/>
  </numFmts>
  <fonts count="20" x14ac:knownFonts="1">
    <font>
      <sz val="11"/>
      <color theme="1"/>
      <name val="Calibri"/>
      <family val="2"/>
      <charset val="1"/>
    </font>
    <font>
      <b/>
      <sz val="22"/>
      <color rgb="FFFFFFFF"/>
      <name val="Arial"/>
      <charset val="1"/>
    </font>
    <font>
      <b/>
      <sz val="11"/>
      <color rgb="FFFFFFFF"/>
      <name val="Arial"/>
      <charset val="1"/>
    </font>
    <font>
      <sz val="10"/>
      <color rgb="FF000000"/>
      <name val="Arial"/>
      <charset val="1"/>
    </font>
    <font>
      <b/>
      <sz val="10"/>
      <color rgb="FF146178"/>
      <name val="Arial"/>
      <charset val="1"/>
    </font>
    <font>
      <b/>
      <sz val="10"/>
      <color rgb="FF000000"/>
      <name val="Arial"/>
      <charset val="1"/>
    </font>
    <font>
      <sz val="8"/>
      <color rgb="FF5A6B72"/>
      <name val="Arial"/>
      <charset val="1"/>
    </font>
    <font>
      <b/>
      <sz val="10"/>
      <color rgb="FFFFFFFF"/>
      <name val="Arial"/>
      <charset val="1"/>
    </font>
    <font>
      <b/>
      <sz val="10"/>
      <color rgb="FF0F6FA8"/>
      <name val="Arial"/>
      <charset val="1"/>
    </font>
    <font>
      <sz val="9"/>
      <color rgb="FF5A6B72"/>
      <name val="Arial"/>
      <charset val="1"/>
    </font>
    <font>
      <b/>
      <sz val="15"/>
      <color rgb="FFFFFFFF"/>
      <name val="Arial"/>
      <charset val="1"/>
    </font>
    <font>
      <b/>
      <sz val="14"/>
      <color rgb="FFFFFFFF"/>
      <name val="Arial"/>
      <charset val="1"/>
    </font>
    <font>
      <b/>
      <sz val="8"/>
      <color rgb="FFFFFFFF"/>
      <name val="Arial"/>
      <charset val="1"/>
    </font>
    <font>
      <b/>
      <sz val="13"/>
      <color rgb="FFFFFFFF"/>
      <name val="Arial"/>
      <charset val="1"/>
    </font>
    <font>
      <sz val="10"/>
      <color rgb="FF0E3A47"/>
      <name val="Arial"/>
      <charset val="1"/>
    </font>
    <font>
      <b/>
      <sz val="10"/>
      <color rgb="FF0E3A47"/>
      <name val="Arial"/>
      <charset val="1"/>
    </font>
    <font>
      <b/>
      <sz val="9"/>
      <color rgb="FFFFFFFF"/>
      <name val="Arial"/>
      <charset val="1"/>
    </font>
    <font>
      <sz val="10"/>
      <name val="Arial"/>
      <family val="2"/>
    </font>
    <font>
      <sz val="9"/>
      <color rgb="FF000000"/>
      <name val="Arial"/>
      <charset val="1"/>
    </font>
    <font>
      <sz val="9"/>
      <color rgb="FF0E3A47"/>
      <name val="Arial"/>
      <charset val="1"/>
    </font>
  </fonts>
  <fills count="14">
    <fill>
      <patternFill patternType="none"/>
    </fill>
    <fill>
      <patternFill patternType="gray125"/>
    </fill>
    <fill>
      <patternFill patternType="solid">
        <fgColor rgb="FF146178"/>
        <bgColor rgb="FF0F6FA8"/>
      </patternFill>
    </fill>
    <fill>
      <patternFill patternType="solid">
        <fgColor rgb="FF2E91AD"/>
        <bgColor rgb="FF1C7A93"/>
      </patternFill>
    </fill>
    <fill>
      <patternFill patternType="solid">
        <fgColor rgb="FFDCEAF0"/>
        <bgColor rgb="FFD7E8EC"/>
      </patternFill>
    </fill>
    <fill>
      <patternFill patternType="solid">
        <fgColor rgb="FFEFF6F8"/>
        <bgColor rgb="FFF2F6F7"/>
      </patternFill>
    </fill>
    <fill>
      <patternFill patternType="solid">
        <fgColor rgb="FFFFFFFF"/>
        <bgColor rgb="FFF2F6F7"/>
      </patternFill>
    </fill>
    <fill>
      <patternFill patternType="solid">
        <fgColor rgb="FFEEF3F4"/>
        <bgColor rgb="FFEFF6F8"/>
      </patternFill>
    </fill>
    <fill>
      <patternFill patternType="solid">
        <fgColor rgb="FF1C7A93"/>
        <bgColor rgb="FF0F6FA8"/>
      </patternFill>
    </fill>
    <fill>
      <patternFill patternType="solid">
        <fgColor rgb="FF5A6B72"/>
        <bgColor rgb="FF808080"/>
      </patternFill>
    </fill>
    <fill>
      <patternFill patternType="solid">
        <fgColor rgb="FFFFD24D"/>
        <bgColor rgb="FFFFCC00"/>
      </patternFill>
    </fill>
    <fill>
      <patternFill patternType="solid">
        <fgColor rgb="FFD7E8EC"/>
        <bgColor rgb="FFDCEAF0"/>
      </patternFill>
    </fill>
    <fill>
      <patternFill patternType="solid">
        <fgColor rgb="FFF2F6F7"/>
        <bgColor rgb="FFEFF6F8"/>
      </patternFill>
    </fill>
    <fill>
      <patternFill patternType="solid">
        <fgColor rgb="FFCDE3E8"/>
        <bgColor rgb="FFD7E8EC"/>
      </patternFill>
    </fill>
  </fills>
  <borders count="4">
    <border>
      <left/>
      <right/>
      <top/>
      <bottom/>
      <diagonal/>
    </border>
    <border>
      <left style="thin">
        <color rgb="FF9FB6BD"/>
      </left>
      <right style="thin">
        <color rgb="FF9FB6BD"/>
      </right>
      <top style="thin">
        <color rgb="FF9FB6BD"/>
      </top>
      <bottom style="thin">
        <color rgb="FF9FB6BD"/>
      </bottom>
      <diagonal/>
    </border>
    <border>
      <left/>
      <right style="thin">
        <color rgb="FF9FB6BD"/>
      </right>
      <top/>
      <bottom style="thin">
        <color rgb="FF9FB6BD"/>
      </bottom>
      <diagonal/>
    </border>
    <border>
      <left style="thin">
        <color rgb="FF9DB2BC"/>
      </left>
      <right style="thin">
        <color rgb="FF9DB2BC"/>
      </right>
      <top style="thin">
        <color rgb="FF9DB2BC"/>
      </top>
      <bottom style="thin">
        <color rgb="FF9DB2BC"/>
      </bottom>
      <diagonal/>
    </border>
  </borders>
  <cellStyleXfs count="1">
    <xf numFmtId="0" fontId="0" fillId="0" borderId="0"/>
  </cellStyleXfs>
  <cellXfs count="71">
    <xf numFmtId="0" fontId="0" fillId="0" borderId="0" xfId="0"/>
    <xf numFmtId="0" fontId="12" fillId="2" borderId="0" xfId="0" applyFont="1" applyFill="1" applyAlignment="1">
      <alignment horizontal="center" vertical="center"/>
    </xf>
    <xf numFmtId="0" fontId="11" fillId="9" borderId="1" xfId="0" applyFont="1" applyFill="1" applyBorder="1" applyAlignment="1">
      <alignment horizontal="center" vertical="center"/>
    </xf>
    <xf numFmtId="0" fontId="10" fillId="2" borderId="1" xfId="0" applyFont="1" applyFill="1" applyBorder="1" applyAlignment="1">
      <alignment vertical="center" indent="1"/>
    </xf>
    <xf numFmtId="0" fontId="9" fillId="0" borderId="0" xfId="0" applyFont="1" applyAlignment="1">
      <alignment horizontal="left" vertical="center" indent="1"/>
    </xf>
    <xf numFmtId="0" fontId="7" fillId="8" borderId="1" xfId="0" applyFont="1" applyFill="1" applyBorder="1" applyAlignment="1">
      <alignment horizontal="left" vertical="center" indent="1"/>
    </xf>
    <xf numFmtId="0" fontId="6" fillId="7" borderId="0" xfId="0" applyFont="1" applyFill="1" applyAlignment="1">
      <alignment vertical="top" wrapText="1"/>
    </xf>
    <xf numFmtId="0" fontId="3" fillId="6" borderId="0" xfId="0" applyFont="1" applyFill="1" applyAlignment="1">
      <alignment horizontal="left" vertical="center" indent="1"/>
    </xf>
    <xf numFmtId="0" fontId="3" fillId="5" borderId="0" xfId="0" applyFont="1" applyFill="1" applyAlignment="1">
      <alignment horizontal="left" vertical="center" indent="1"/>
    </xf>
    <xf numFmtId="0" fontId="3" fillId="4" borderId="0" xfId="0" applyFont="1" applyFill="1" applyAlignment="1">
      <alignment horizontal="left" vertical="center" indent="1"/>
    </xf>
    <xf numFmtId="0" fontId="3" fillId="0" borderId="0" xfId="0" applyFont="1" applyAlignment="1">
      <alignment vertical="top" wrapText="1"/>
    </xf>
    <xf numFmtId="0" fontId="2" fillId="3" borderId="0" xfId="0" applyFont="1" applyFill="1" applyAlignment="1">
      <alignment horizontal="left" vertical="center" indent="1"/>
    </xf>
    <xf numFmtId="0" fontId="1" fillId="2" borderId="0" xfId="0" applyFont="1" applyFill="1" applyAlignment="1">
      <alignment horizontal="left" vertical="center" indent="1"/>
    </xf>
    <xf numFmtId="0" fontId="4"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vertical="top" wrapText="1"/>
    </xf>
    <xf numFmtId="0" fontId="7" fillId="8" borderId="1" xfId="0" applyFont="1" applyFill="1" applyBorder="1" applyAlignment="1">
      <alignment horizontal="left" vertical="center" indent="1"/>
    </xf>
    <xf numFmtId="0" fontId="8" fillId="0" borderId="0" xfId="0" applyFont="1" applyAlignment="1">
      <alignment horizontal="left" vertical="center"/>
    </xf>
    <xf numFmtId="0" fontId="4" fillId="0" borderId="0" xfId="0" applyFont="1" applyAlignment="1">
      <alignment horizontal="right" vertical="center"/>
    </xf>
    <xf numFmtId="0" fontId="15" fillId="10" borderId="1" xfId="0" applyFont="1" applyFill="1" applyBorder="1" applyAlignment="1" applyProtection="1">
      <alignment horizontal="center" vertical="center"/>
      <protection locked="0"/>
    </xf>
    <xf numFmtId="0" fontId="3" fillId="0" borderId="1" xfId="0" applyFont="1" applyBorder="1" applyAlignment="1">
      <alignment horizontal="left" vertical="center"/>
    </xf>
    <xf numFmtId="0" fontId="0" fillId="0" borderId="1" xfId="0" applyBorder="1"/>
    <xf numFmtId="1" fontId="14" fillId="4" borderId="1" xfId="0" applyNumberFormat="1" applyFont="1" applyFill="1" applyBorder="1" applyAlignment="1" applyProtection="1">
      <alignment horizontal="right" vertical="center"/>
      <protection locked="0"/>
    </xf>
    <xf numFmtId="0" fontId="16" fillId="2" borderId="0" xfId="0" applyFont="1" applyFill="1" applyAlignment="1">
      <alignment vertical="center" indent="1"/>
    </xf>
    <xf numFmtId="0" fontId="16" fillId="2" borderId="0" xfId="0" applyFont="1" applyFill="1" applyAlignment="1">
      <alignment horizontal="center" vertical="center"/>
    </xf>
    <xf numFmtId="165" fontId="14" fillId="4" borderId="1" xfId="0" applyNumberFormat="1" applyFont="1" applyFill="1" applyBorder="1" applyAlignment="1" applyProtection="1">
      <alignment horizontal="right" vertical="center"/>
      <protection locked="0"/>
    </xf>
    <xf numFmtId="0" fontId="0" fillId="4" borderId="1" xfId="0" applyFill="1" applyBorder="1" applyAlignment="1" applyProtection="1">
      <alignment horizontal="left" vertical="center"/>
      <protection locked="0"/>
    </xf>
    <xf numFmtId="167" fontId="14" fillId="4" borderId="1" xfId="0" applyNumberFormat="1" applyFont="1" applyFill="1" applyBorder="1" applyAlignment="1" applyProtection="1">
      <alignment horizontal="right" vertical="center"/>
      <protection locked="0"/>
    </xf>
    <xf numFmtId="0" fontId="14" fillId="5" borderId="1" xfId="0" applyFont="1" applyFill="1" applyBorder="1" applyAlignment="1" applyProtection="1">
      <alignment horizontal="center"/>
      <protection locked="0"/>
    </xf>
    <xf numFmtId="164" fontId="14" fillId="5" borderId="1" xfId="0" applyNumberFormat="1" applyFont="1" applyFill="1" applyBorder="1" applyAlignment="1" applyProtection="1">
      <alignment horizontal="right" vertical="center"/>
      <protection locked="0"/>
    </xf>
    <xf numFmtId="165" fontId="3" fillId="0" borderId="1" xfId="0" applyNumberFormat="1" applyFont="1" applyBorder="1" applyAlignment="1">
      <alignment horizontal="right" vertical="center"/>
    </xf>
    <xf numFmtId="0" fontId="5" fillId="0" borderId="1" xfId="0" applyFont="1" applyBorder="1" applyAlignment="1">
      <alignment horizontal="left" vertical="center"/>
    </xf>
    <xf numFmtId="165" fontId="5" fillId="11" borderId="1" xfId="0" applyNumberFormat="1" applyFont="1" applyFill="1" applyBorder="1" applyAlignment="1">
      <alignment horizontal="right" vertical="center"/>
    </xf>
    <xf numFmtId="1" fontId="5" fillId="11" borderId="1" xfId="0" applyNumberFormat="1" applyFont="1" applyFill="1" applyBorder="1" applyAlignment="1">
      <alignment horizontal="right" vertical="center"/>
    </xf>
    <xf numFmtId="1" fontId="14" fillId="5" borderId="1" xfId="0" applyNumberFormat="1" applyFont="1" applyFill="1" applyBorder="1" applyAlignment="1" applyProtection="1">
      <alignment horizontal="right" vertical="center"/>
      <protection locked="0"/>
    </xf>
    <xf numFmtId="1" fontId="14" fillId="5" borderId="1" xfId="0" applyNumberFormat="1" applyFont="1" applyFill="1" applyBorder="1" applyAlignment="1" applyProtection="1">
      <alignment horizontal="center"/>
      <protection locked="0"/>
    </xf>
    <xf numFmtId="167" fontId="3" fillId="0" borderId="1" xfId="0" applyNumberFormat="1" applyFont="1" applyBorder="1" applyAlignment="1">
      <alignment horizontal="right" vertical="center"/>
    </xf>
    <xf numFmtId="164" fontId="3" fillId="0" borderId="1" xfId="0" applyNumberFormat="1" applyFont="1" applyBorder="1" applyAlignment="1">
      <alignment horizontal="right" vertical="center"/>
    </xf>
    <xf numFmtId="166" fontId="3" fillId="0" borderId="1" xfId="0" applyNumberFormat="1" applyFont="1" applyBorder="1" applyAlignment="1">
      <alignment horizontal="right" vertical="center"/>
    </xf>
    <xf numFmtId="168" fontId="3" fillId="0" borderId="1" xfId="0" applyNumberFormat="1" applyFont="1" applyBorder="1" applyAlignment="1">
      <alignment horizontal="right" vertical="center"/>
    </xf>
    <xf numFmtId="165" fontId="14" fillId="5" borderId="1" xfId="0" applyNumberFormat="1" applyFont="1" applyFill="1" applyBorder="1" applyAlignment="1" applyProtection="1">
      <alignment horizontal="right" vertical="center"/>
      <protection locked="0"/>
    </xf>
    <xf numFmtId="0" fontId="7" fillId="2" borderId="0" xfId="0" applyFont="1" applyFill="1" applyAlignment="1">
      <alignment vertical="center" indent="1"/>
    </xf>
    <xf numFmtId="0" fontId="7" fillId="2" borderId="0" xfId="0" applyFont="1" applyFill="1" applyAlignment="1">
      <alignment horizontal="center" vertical="center"/>
    </xf>
    <xf numFmtId="0" fontId="3" fillId="0" borderId="0" xfId="0" applyFont="1" applyAlignment="1">
      <alignment vertical="center" indent="1"/>
    </xf>
    <xf numFmtId="165" fontId="18" fillId="0" borderId="0" xfId="0" applyNumberFormat="1" applyFont="1" applyAlignment="1">
      <alignment horizontal="right" vertical="center"/>
    </xf>
    <xf numFmtId="0" fontId="5" fillId="0" borderId="0" xfId="0" applyFont="1" applyAlignment="1">
      <alignment vertical="center" indent="1"/>
    </xf>
    <xf numFmtId="0" fontId="0" fillId="0" borderId="0" xfId="0" applyAlignment="1">
      <alignment indent="1"/>
    </xf>
    <xf numFmtId="165" fontId="3" fillId="0" borderId="0" xfId="0" applyNumberFormat="1" applyFont="1" applyAlignment="1">
      <alignment horizontal="right" vertical="center"/>
    </xf>
    <xf numFmtId="165" fontId="0" fillId="0" borderId="0" xfId="0" applyNumberFormat="1"/>
    <xf numFmtId="0" fontId="5" fillId="0" borderId="0" xfId="0" applyFont="1" applyAlignment="1">
      <alignment indent="1"/>
    </xf>
    <xf numFmtId="165" fontId="5" fillId="11" borderId="0" xfId="0" applyNumberFormat="1" applyFont="1" applyFill="1" applyAlignment="1">
      <alignment horizontal="right" vertical="center"/>
    </xf>
    <xf numFmtId="166" fontId="3" fillId="0" borderId="0" xfId="0" applyNumberFormat="1" applyFont="1" applyAlignment="1">
      <alignment horizontal="right" vertical="center"/>
    </xf>
    <xf numFmtId="164" fontId="3" fillId="0" borderId="0" xfId="0" applyNumberFormat="1" applyFont="1" applyAlignment="1">
      <alignment horizontal="right" vertical="center"/>
    </xf>
    <xf numFmtId="164" fontId="5" fillId="11" borderId="0" xfId="0" applyNumberFormat="1" applyFont="1" applyFill="1" applyAlignment="1">
      <alignment horizontal="right" vertical="center"/>
    </xf>
    <xf numFmtId="0" fontId="3" fillId="0" borderId="0" xfId="0" applyFont="1" applyAlignment="1">
      <alignment horizontal="left" vertical="center"/>
    </xf>
    <xf numFmtId="164" fontId="14" fillId="5" borderId="3" xfId="0" applyNumberFormat="1" applyFont="1" applyFill="1" applyBorder="1" applyAlignment="1" applyProtection="1">
      <alignment horizontal="right" vertical="center"/>
      <protection locked="0"/>
    </xf>
    <xf numFmtId="1" fontId="14" fillId="5" borderId="3" xfId="0" applyNumberFormat="1" applyFont="1" applyFill="1" applyBorder="1" applyAlignment="1" applyProtection="1">
      <alignment horizontal="right" vertical="center"/>
      <protection locked="0"/>
    </xf>
    <xf numFmtId="165" fontId="3" fillId="12" borderId="1" xfId="0" applyNumberFormat="1" applyFont="1" applyFill="1" applyBorder="1" applyAlignment="1">
      <alignment horizontal="right" vertical="center"/>
    </xf>
    <xf numFmtId="165" fontId="5" fillId="13" borderId="1" xfId="0" applyNumberFormat="1" applyFont="1" applyFill="1" applyBorder="1" applyAlignment="1">
      <alignment horizontal="right" vertical="center"/>
    </xf>
    <xf numFmtId="164" fontId="13" fillId="2" borderId="1" xfId="0" applyNumberFormat="1" applyFont="1" applyFill="1" applyBorder="1" applyAlignment="1">
      <alignment horizontal="center" vertical="center"/>
    </xf>
    <xf numFmtId="164" fontId="13" fillId="2" borderId="1" xfId="0" applyNumberFormat="1" applyFont="1" applyFill="1" applyBorder="1" applyAlignment="1" applyProtection="1">
      <alignment horizontal="center" vertical="center"/>
      <protection locked="0"/>
    </xf>
    <xf numFmtId="165" fontId="13" fillId="2" borderId="2" xfId="0" applyNumberFormat="1" applyFont="1" applyFill="1" applyBorder="1" applyAlignment="1">
      <alignment horizontal="center" vertical="center"/>
    </xf>
    <xf numFmtId="166" fontId="13" fillId="2" borderId="1" xfId="0" applyNumberFormat="1" applyFont="1" applyFill="1" applyBorder="1" applyAlignment="1" applyProtection="1">
      <alignment horizontal="center" vertical="center"/>
      <protection locked="0"/>
    </xf>
    <xf numFmtId="0" fontId="14" fillId="4" borderId="1" xfId="0" applyFont="1" applyFill="1" applyBorder="1" applyProtection="1">
      <protection locked="0"/>
    </xf>
    <xf numFmtId="0" fontId="10" fillId="2" borderId="0" xfId="0" applyFont="1" applyFill="1" applyAlignment="1">
      <alignment vertical="center" indent="1"/>
    </xf>
    <xf numFmtId="0" fontId="16" fillId="3" borderId="0" xfId="0" applyFont="1" applyFill="1" applyAlignment="1">
      <alignment vertical="center" indent="1"/>
    </xf>
    <xf numFmtId="0" fontId="7" fillId="8" borderId="0" xfId="0" applyFont="1" applyFill="1" applyAlignment="1">
      <alignment horizontal="left" vertical="center" indent="1"/>
    </xf>
    <xf numFmtId="0" fontId="11" fillId="2" borderId="0" xfId="0" applyFont="1" applyFill="1" applyAlignment="1">
      <alignment vertical="center" indent="1"/>
    </xf>
    <xf numFmtId="0" fontId="9" fillId="0" borderId="0" xfId="0" applyFont="1"/>
    <xf numFmtId="0" fontId="19" fillId="0" borderId="0" xfId="0" applyFont="1" applyAlignment="1">
      <alignment vertical="top" wrapText="1"/>
    </xf>
    <xf numFmtId="0" fontId="9" fillId="0" borderId="0" xfId="0" applyFont="1" applyAlignment="1">
      <alignment vertical="top" wrapText="1"/>
    </xf>
  </cellXfs>
  <cellStyles count="1">
    <cellStyle name="Normal" xfId="0" builtinId="0"/>
  </cellStyles>
  <dxfs count="3">
    <dxf>
      <font>
        <b/>
        <sz val="14"/>
        <color rgb="FFFFFFFF"/>
        <name val="Arial"/>
        <charset val="1"/>
      </font>
      <fill>
        <patternFill>
          <bgColor rgb="FFC9892E"/>
        </patternFill>
      </fill>
    </dxf>
    <dxf>
      <font>
        <b/>
        <sz val="14"/>
        <color rgb="FFFFFFFF"/>
        <name val="Arial"/>
        <charset val="1"/>
      </font>
      <fill>
        <patternFill>
          <bgColor rgb="FFB23A3A"/>
        </patternFill>
      </fill>
    </dxf>
    <dxf>
      <font>
        <b/>
        <sz val="14"/>
        <color rgb="FFFFFFFF"/>
        <name val="Arial"/>
        <charset val="1"/>
      </font>
      <fill>
        <patternFill>
          <bgColor rgb="FF1B8A4B"/>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1C7A93"/>
      <rgbColor rgb="FF9FB6BD"/>
      <rgbColor rgb="FF808080"/>
      <rgbColor rgb="FF9999FF"/>
      <rgbColor rgb="FFB23A3A"/>
      <rgbColor rgb="FFF2F6F7"/>
      <rgbColor rgb="FFDCEAF0"/>
      <rgbColor rgb="FF660066"/>
      <rgbColor rgb="FFFF8080"/>
      <rgbColor rgb="FF0F6FA8"/>
      <rgbColor rgb="FFCDE3E8"/>
      <rgbColor rgb="FF000080"/>
      <rgbColor rgb="FFFF00FF"/>
      <rgbColor rgb="FFFFFF00"/>
      <rgbColor rgb="FF00FFFF"/>
      <rgbColor rgb="FF800080"/>
      <rgbColor rgb="FF800000"/>
      <rgbColor rgb="FF146178"/>
      <rgbColor rgb="FF0000FF"/>
      <rgbColor rgb="FF00CCFF"/>
      <rgbColor rgb="FFD7E8EC"/>
      <rgbColor rgb="FFEEF3F4"/>
      <rgbColor rgb="FFEFF6F8"/>
      <rgbColor rgb="FF99CCFF"/>
      <rgbColor rgb="FFFF99CC"/>
      <rgbColor rgb="FFCC99FF"/>
      <rgbColor rgb="FFFFD24D"/>
      <rgbColor rgb="FF2E91AD"/>
      <rgbColor rgb="FF33CCCC"/>
      <rgbColor rgb="FF99CC00"/>
      <rgbColor rgb="FFFFCC00"/>
      <rgbColor rgb="FFC9892E"/>
      <rgbColor rgb="FFFF6600"/>
      <rgbColor rgb="FF5A6B72"/>
      <rgbColor rgb="FF9DB2BC"/>
      <rgbColor rgb="FF0E3A47"/>
      <rgbColor rgb="FF1B8A4B"/>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rhours.com/" TargetMode="External"/><Relationship Id="rId2" Type="http://schemas.openxmlformats.org/officeDocument/2006/relationships/hyperlink" Target="https://repstime.com/" TargetMode="External"/><Relationship Id="rId1" Type="http://schemas.openxmlformats.org/officeDocument/2006/relationships/hyperlink" Target="https://www.doorprofit.com/" TargetMode="External"/><Relationship Id="rId5" Type="http://schemas.openxmlformats.org/officeDocument/2006/relationships/hyperlink" Target="https://kidspayroll.com/" TargetMode="External"/><Relationship Id="rId4" Type="http://schemas.openxmlformats.org/officeDocument/2006/relationships/hyperlink" Target="https://rentstager.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hyperlink" Target="https://repstim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28"/>
  <sheetViews>
    <sheetView showGridLines="0" tabSelected="1" zoomScaleNormal="100" workbookViewId="0"/>
  </sheetViews>
  <sheetFormatPr defaultColWidth="8.6640625" defaultRowHeight="14.25" x14ac:dyDescent="0.45"/>
  <cols>
    <col min="1" max="1" width="2" customWidth="1"/>
    <col min="2" max="2" width="24" customWidth="1"/>
    <col min="3" max="3" width="62" customWidth="1"/>
    <col min="4" max="4" width="2" customWidth="1"/>
  </cols>
  <sheetData>
    <row r="2" spans="2:3" ht="37.5" customHeight="1" x14ac:dyDescent="0.45">
      <c r="B2" s="12" t="s">
        <v>0</v>
      </c>
      <c r="C2" s="12"/>
    </row>
    <row r="3" spans="2:3" ht="21.75" customHeight="1" x14ac:dyDescent="0.45">
      <c r="B3" s="11" t="s">
        <v>1</v>
      </c>
      <c r="C3" s="11"/>
    </row>
    <row r="5" spans="2:3" ht="45.75" customHeight="1" x14ac:dyDescent="0.45">
      <c r="B5" s="10" t="s">
        <v>2</v>
      </c>
      <c r="C5" s="10"/>
    </row>
    <row r="7" spans="2:3" ht="15" customHeight="1" x14ac:dyDescent="0.45">
      <c r="B7" s="13" t="s">
        <v>3</v>
      </c>
    </row>
    <row r="8" spans="2:3" ht="15" customHeight="1" x14ac:dyDescent="0.45">
      <c r="B8" s="9" t="s">
        <v>4</v>
      </c>
      <c r="C8" s="9"/>
    </row>
    <row r="9" spans="2:3" ht="15" customHeight="1" x14ac:dyDescent="0.45">
      <c r="B9" s="8" t="s">
        <v>5</v>
      </c>
      <c r="C9" s="8"/>
    </row>
    <row r="10" spans="2:3" ht="15" customHeight="1" x14ac:dyDescent="0.45">
      <c r="B10" s="7" t="s">
        <v>6</v>
      </c>
      <c r="C10" s="7"/>
    </row>
    <row r="12" spans="2:3" ht="15" customHeight="1" x14ac:dyDescent="0.45">
      <c r="B12" s="13" t="s">
        <v>7</v>
      </c>
    </row>
    <row r="13" spans="2:3" ht="25.5" customHeight="1" x14ac:dyDescent="0.45">
      <c r="B13" s="14" t="s">
        <v>8</v>
      </c>
      <c r="C13" s="15" t="s">
        <v>9</v>
      </c>
    </row>
    <row r="14" spans="2:3" ht="25.5" customHeight="1" x14ac:dyDescent="0.45">
      <c r="B14" s="14" t="s">
        <v>10</v>
      </c>
      <c r="C14" s="15" t="s">
        <v>11</v>
      </c>
    </row>
    <row r="15" spans="2:3" ht="25.5" customHeight="1" x14ac:dyDescent="0.45">
      <c r="B15" s="14" t="s">
        <v>12</v>
      </c>
      <c r="C15" s="15" t="s">
        <v>13</v>
      </c>
    </row>
    <row r="17" spans="2:4" ht="15.75" customHeight="1" x14ac:dyDescent="0.45">
      <c r="B17" s="6" t="s">
        <v>14</v>
      </c>
      <c r="C17" s="6"/>
    </row>
    <row r="18" spans="2:4" ht="15.75" customHeight="1" x14ac:dyDescent="0.45">
      <c r="B18" s="6"/>
      <c r="C18" s="6"/>
    </row>
    <row r="19" spans="2:4" ht="15.75" customHeight="1" x14ac:dyDescent="0.45">
      <c r="B19" s="6"/>
      <c r="C19" s="6"/>
    </row>
    <row r="20" spans="2:4" ht="15.75" customHeight="1" x14ac:dyDescent="0.45">
      <c r="B20" s="6"/>
      <c r="C20" s="6"/>
    </row>
    <row r="21" spans="2:4" ht="15.75" customHeight="1" x14ac:dyDescent="0.45">
      <c r="B21" s="6"/>
      <c r="C21" s="6"/>
    </row>
    <row r="23" spans="2:4" ht="15" customHeight="1" x14ac:dyDescent="0.45">
      <c r="B23" s="5" t="s">
        <v>15</v>
      </c>
      <c r="C23" s="5"/>
      <c r="D23" s="5"/>
    </row>
    <row r="24" spans="2:4" ht="15" customHeight="1" x14ac:dyDescent="0.45">
      <c r="B24" s="17" t="s">
        <v>16</v>
      </c>
      <c r="C24" s="4" t="s">
        <v>17</v>
      </c>
      <c r="D24" s="4"/>
    </row>
    <row r="25" spans="2:4" ht="15" customHeight="1" x14ac:dyDescent="0.45">
      <c r="B25" s="17" t="s">
        <v>18</v>
      </c>
      <c r="C25" s="4" t="s">
        <v>19</v>
      </c>
      <c r="D25" s="4"/>
    </row>
    <row r="26" spans="2:4" ht="15" customHeight="1" x14ac:dyDescent="0.45">
      <c r="B26" s="17" t="s">
        <v>20</v>
      </c>
      <c r="C26" s="4" t="s">
        <v>21</v>
      </c>
      <c r="D26" s="4"/>
    </row>
    <row r="27" spans="2:4" ht="15" customHeight="1" x14ac:dyDescent="0.45">
      <c r="B27" s="17" t="s">
        <v>22</v>
      </c>
      <c r="C27" s="4" t="s">
        <v>23</v>
      </c>
      <c r="D27" s="4"/>
    </row>
    <row r="28" spans="2:4" ht="15" customHeight="1" x14ac:dyDescent="0.45">
      <c r="B28" s="17" t="s">
        <v>24</v>
      </c>
      <c r="C28" s="4" t="s">
        <v>25</v>
      </c>
      <c r="D28" s="4"/>
    </row>
  </sheetData>
  <mergeCells count="13">
    <mergeCell ref="C26:D26"/>
    <mergeCell ref="C27:D27"/>
    <mergeCell ref="C28:D28"/>
    <mergeCell ref="B10:C10"/>
    <mergeCell ref="B17:C21"/>
    <mergeCell ref="B23:D23"/>
    <mergeCell ref="C24:D24"/>
    <mergeCell ref="C25:D25"/>
    <mergeCell ref="B2:C2"/>
    <mergeCell ref="B3:C3"/>
    <mergeCell ref="B5:C5"/>
    <mergeCell ref="B8:C8"/>
    <mergeCell ref="B9:C9"/>
  </mergeCells>
  <hyperlinks>
    <hyperlink ref="B24" r:id="rId1" xr:uid="{00000000-0004-0000-0000-000000000000}"/>
    <hyperlink ref="B25" r:id="rId2" xr:uid="{00000000-0004-0000-0000-000001000000}"/>
    <hyperlink ref="B26" r:id="rId3" xr:uid="{00000000-0004-0000-0000-000002000000}"/>
    <hyperlink ref="B27" r:id="rId4" xr:uid="{00000000-0004-0000-0000-000003000000}"/>
    <hyperlink ref="B28" r:id="rId5" xr:uid="{00000000-0004-0000-0000-000004000000}"/>
  </hyperlink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44"/>
  <sheetViews>
    <sheetView showGridLines="0" zoomScaleNormal="100" workbookViewId="0">
      <pane xSplit="1" ySplit="5" topLeftCell="B6" activePane="bottomRight" state="frozen"/>
      <selection pane="topRight" activeCell="B1" sqref="B1"/>
      <selection pane="bottomLeft" activeCell="A6" sqref="A6"/>
      <selection pane="bottomRight"/>
    </sheetView>
  </sheetViews>
  <sheetFormatPr defaultColWidth="8.6640625" defaultRowHeight="14.25" x14ac:dyDescent="0.45"/>
  <cols>
    <col min="1" max="1" width="2" customWidth="1"/>
    <col min="2" max="2" width="30" customWidth="1"/>
    <col min="3" max="3" width="11" customWidth="1"/>
    <col min="4" max="4" width="14" customWidth="1"/>
    <col min="5" max="5" width="2" customWidth="1"/>
    <col min="6" max="6" width="22" customWidth="1"/>
    <col min="7" max="7" width="9" customWidth="1"/>
    <col min="8" max="9" width="13" customWidth="1"/>
    <col min="10" max="10" width="2" customWidth="1"/>
  </cols>
  <sheetData>
    <row r="1" spans="2:9" ht="30" customHeight="1" x14ac:dyDescent="0.45">
      <c r="B1" s="3" t="s">
        <v>26</v>
      </c>
      <c r="C1" s="3"/>
      <c r="D1" s="3"/>
      <c r="E1" s="3"/>
      <c r="F1" s="3"/>
      <c r="G1" s="3"/>
      <c r="H1" s="3"/>
      <c r="I1" s="3"/>
    </row>
    <row r="2" spans="2:9" ht="27" customHeight="1" x14ac:dyDescent="0.45">
      <c r="B2" s="2" t="str">
        <f>IF($I$18=0,"Enter your numbers below to see the verdict",IF(OR($I$24&lt;=0,$I$29&lt;1),"PASS - Negative cash flow or NOI does not cover the debt",IF(AND($I$28&gt;=0.08,$I$29&gt;=1.25),"GREENLIGHT - Strong multifamily deal","CAUTION - Cash flows, but below the greenlight thresholds")))</f>
        <v>Enter your numbers below to see the verdict</v>
      </c>
      <c r="C2" s="2"/>
      <c r="D2" s="2"/>
      <c r="E2" s="2"/>
      <c r="F2" s="2"/>
      <c r="G2" s="2"/>
      <c r="H2" s="2"/>
      <c r="I2" s="2"/>
    </row>
    <row r="3" spans="2:9" ht="13.5" customHeight="1" x14ac:dyDescent="0.45">
      <c r="B3" s="1" t="s">
        <v>27</v>
      </c>
      <c r="C3" s="1"/>
      <c r="D3" s="1" t="s">
        <v>28</v>
      </c>
      <c r="E3" s="1"/>
      <c r="F3" s="1" t="s">
        <v>29</v>
      </c>
      <c r="G3" s="1"/>
      <c r="H3" s="1" t="s">
        <v>30</v>
      </c>
      <c r="I3" s="1"/>
    </row>
    <row r="4" spans="2:9" ht="21.75" customHeight="1" x14ac:dyDescent="0.45">
      <c r="B4" s="59">
        <f>$I$28</f>
        <v>0</v>
      </c>
      <c r="C4" s="59"/>
      <c r="D4" s="60">
        <f>$I$27</f>
        <v>0</v>
      </c>
      <c r="E4" s="60"/>
      <c r="F4" s="61">
        <f>$I$24</f>
        <v>0</v>
      </c>
      <c r="G4" s="61"/>
      <c r="H4" s="62">
        <f>$I$29</f>
        <v>0</v>
      </c>
      <c r="I4" s="62"/>
    </row>
    <row r="5" spans="2:9" ht="15" customHeight="1" x14ac:dyDescent="0.45">
      <c r="B5" s="14" t="s">
        <v>31</v>
      </c>
      <c r="D5" s="63"/>
      <c r="E5" s="63"/>
      <c r="F5" s="63"/>
      <c r="G5" s="18" t="s">
        <v>32</v>
      </c>
      <c r="H5" s="19" t="s">
        <v>33</v>
      </c>
    </row>
    <row r="6" spans="2:9" ht="15" customHeight="1" x14ac:dyDescent="0.45">
      <c r="B6" s="5" t="s">
        <v>34</v>
      </c>
      <c r="C6" s="5"/>
      <c r="D6" s="5"/>
      <c r="F6" s="5" t="s">
        <v>35</v>
      </c>
      <c r="G6" s="5"/>
      <c r="H6" s="5"/>
      <c r="I6" s="5"/>
    </row>
    <row r="7" spans="2:9" ht="15" customHeight="1" x14ac:dyDescent="0.45">
      <c r="B7" s="20" t="s">
        <v>36</v>
      </c>
      <c r="C7" s="21"/>
      <c r="D7" s="22"/>
      <c r="F7" s="23" t="s">
        <v>37</v>
      </c>
      <c r="G7" s="24" t="s">
        <v>38</v>
      </c>
      <c r="H7" s="24" t="s">
        <v>39</v>
      </c>
      <c r="I7" s="24" t="s">
        <v>40</v>
      </c>
    </row>
    <row r="8" spans="2:9" ht="15" customHeight="1" x14ac:dyDescent="0.45">
      <c r="B8" s="20" t="s">
        <v>41</v>
      </c>
      <c r="C8" s="21"/>
      <c r="D8" s="25"/>
      <c r="F8" s="26"/>
      <c r="G8" s="22"/>
      <c r="H8" s="27"/>
      <c r="I8" s="27"/>
    </row>
    <row r="9" spans="2:9" ht="15" customHeight="1" x14ac:dyDescent="0.45">
      <c r="B9" s="20" t="s">
        <v>42</v>
      </c>
      <c r="C9" s="21"/>
      <c r="D9" s="25"/>
      <c r="F9" s="26"/>
      <c r="G9" s="22"/>
      <c r="H9" s="27"/>
      <c r="I9" s="27"/>
    </row>
    <row r="10" spans="2:9" ht="15" customHeight="1" x14ac:dyDescent="0.45">
      <c r="B10" s="20" t="s">
        <v>43</v>
      </c>
      <c r="C10" s="21"/>
      <c r="D10" s="25"/>
      <c r="F10" s="26"/>
      <c r="G10" s="22"/>
      <c r="H10" s="27"/>
      <c r="I10" s="27"/>
    </row>
    <row r="11" spans="2:9" ht="15" customHeight="1" x14ac:dyDescent="0.45">
      <c r="B11" s="20" t="s">
        <v>44</v>
      </c>
      <c r="C11" s="21"/>
      <c r="D11" s="28"/>
      <c r="F11" s="26"/>
      <c r="G11" s="22"/>
      <c r="H11" s="27"/>
      <c r="I11" s="27"/>
    </row>
    <row r="12" spans="2:9" ht="15" customHeight="1" x14ac:dyDescent="0.45">
      <c r="B12" s="20" t="s">
        <v>45</v>
      </c>
      <c r="C12" s="29"/>
      <c r="D12" s="30">
        <f>$C$12*($D$9+IF($D$11="Yes",$D$10,0))</f>
        <v>0</v>
      </c>
      <c r="F12" s="26"/>
      <c r="G12" s="22"/>
      <c r="H12" s="27"/>
      <c r="I12" s="27"/>
    </row>
    <row r="13" spans="2:9" ht="15" customHeight="1" x14ac:dyDescent="0.45">
      <c r="B13" s="20" t="s">
        <v>46</v>
      </c>
      <c r="C13" s="29"/>
      <c r="D13" s="30">
        <f>$C$13*$D$9</f>
        <v>0</v>
      </c>
      <c r="F13" s="26"/>
      <c r="G13" s="22"/>
      <c r="H13" s="27"/>
      <c r="I13" s="27"/>
    </row>
    <row r="14" spans="2:9" ht="15" customHeight="1" x14ac:dyDescent="0.45">
      <c r="B14" s="31" t="s">
        <v>47</v>
      </c>
      <c r="C14" s="21"/>
      <c r="D14" s="32">
        <f>$D$9+$D$10+$D$13</f>
        <v>0</v>
      </c>
      <c r="F14" s="31" t="s">
        <v>48</v>
      </c>
      <c r="G14" s="33">
        <f>SUM(G8:G13)</f>
        <v>0</v>
      </c>
      <c r="H14" s="32">
        <f>SUMPRODUCT(G8:G13,H8:H13)</f>
        <v>0</v>
      </c>
      <c r="I14" s="32">
        <f>SUMPRODUCT(G8:G13,I8:I13)</f>
        <v>0</v>
      </c>
    </row>
    <row r="15" spans="2:9" ht="15" customHeight="1" x14ac:dyDescent="0.45">
      <c r="B15" s="31" t="s">
        <v>49</v>
      </c>
      <c r="C15" s="21"/>
      <c r="D15" s="32">
        <f>$D$12+$D$13+IF($D$11="No",$D$10,0)</f>
        <v>0</v>
      </c>
      <c r="F15" s="20" t="s">
        <v>50</v>
      </c>
      <c r="G15" s="21"/>
      <c r="H15" s="27"/>
      <c r="I15" s="27"/>
    </row>
    <row r="16" spans="2:9" ht="15" customHeight="1" x14ac:dyDescent="0.45">
      <c r="B16" s="20" t="s">
        <v>51</v>
      </c>
      <c r="C16" s="21"/>
      <c r="D16" s="30">
        <f>IFERROR($D$14/$D$7,0)</f>
        <v>0</v>
      </c>
    </row>
    <row r="17" spans="2:9" ht="15" customHeight="1" x14ac:dyDescent="0.45">
      <c r="F17" s="5" t="s">
        <v>52</v>
      </c>
      <c r="G17" s="5"/>
      <c r="H17" s="5"/>
      <c r="I17" s="5"/>
    </row>
    <row r="18" spans="2:9" ht="15" customHeight="1" x14ac:dyDescent="0.45">
      <c r="B18" s="5" t="s">
        <v>53</v>
      </c>
      <c r="C18" s="5"/>
      <c r="D18" s="5"/>
      <c r="F18" s="20" t="s">
        <v>54</v>
      </c>
      <c r="G18" s="21"/>
      <c r="H18" s="21"/>
      <c r="I18" s="30">
        <f>(IF($H$5="Current",$H$14+$H$15,$I$14+$I$15))*12</f>
        <v>0</v>
      </c>
    </row>
    <row r="19" spans="2:9" ht="15" customHeight="1" x14ac:dyDescent="0.45">
      <c r="B19" s="20" t="s">
        <v>55</v>
      </c>
      <c r="C19" s="21"/>
      <c r="D19" s="30">
        <f>($D$9+IF($D$11="Yes",$D$10,0))-$D$12</f>
        <v>0</v>
      </c>
      <c r="F19" s="20" t="s">
        <v>56</v>
      </c>
      <c r="G19" s="21"/>
      <c r="H19" s="21"/>
      <c r="I19" s="30">
        <f>-$I$18*$C$34</f>
        <v>0</v>
      </c>
    </row>
    <row r="20" spans="2:9" ht="15" customHeight="1" x14ac:dyDescent="0.45">
      <c r="B20" s="20" t="s">
        <v>57</v>
      </c>
      <c r="C20" s="29"/>
      <c r="F20" s="20" t="s">
        <v>58</v>
      </c>
      <c r="G20" s="21"/>
      <c r="H20" s="21"/>
      <c r="I20" s="30">
        <f>$I$18+$I$19</f>
        <v>0</v>
      </c>
    </row>
    <row r="21" spans="2:9" ht="15" customHeight="1" x14ac:dyDescent="0.45">
      <c r="B21" s="20" t="s">
        <v>59</v>
      </c>
      <c r="C21" s="21"/>
      <c r="D21" s="34"/>
      <c r="F21" s="20" t="s">
        <v>60</v>
      </c>
      <c r="G21" s="21"/>
      <c r="H21" s="21"/>
      <c r="I21" s="30">
        <f>-$D$35</f>
        <v>0</v>
      </c>
    </row>
    <row r="22" spans="2:9" ht="15" customHeight="1" x14ac:dyDescent="0.45">
      <c r="B22" s="20" t="s">
        <v>61</v>
      </c>
      <c r="C22" s="21"/>
      <c r="D22" s="35"/>
      <c r="F22" s="31" t="s">
        <v>62</v>
      </c>
      <c r="G22" s="21"/>
      <c r="H22" s="21"/>
      <c r="I22" s="32">
        <f>$I$20+$I$21</f>
        <v>0</v>
      </c>
    </row>
    <row r="23" spans="2:9" ht="15" customHeight="1" x14ac:dyDescent="0.45">
      <c r="B23" s="20" t="s">
        <v>63</v>
      </c>
      <c r="C23" s="21"/>
      <c r="D23" s="36">
        <f>IF($D$22&gt;=1,$D$19*$C$20/12,IFERROR(-PMT($C$20/12,$D$21*12,$D$19),0))</f>
        <v>0</v>
      </c>
      <c r="F23" s="20" t="s">
        <v>64</v>
      </c>
      <c r="G23" s="21"/>
      <c r="H23" s="21"/>
      <c r="I23" s="30">
        <f>-$D$24</f>
        <v>0</v>
      </c>
    </row>
    <row r="24" spans="2:9" ht="15" customHeight="1" x14ac:dyDescent="0.45">
      <c r="B24" s="20" t="s">
        <v>65</v>
      </c>
      <c r="C24" s="21"/>
      <c r="D24" s="30">
        <f>$D$23*12</f>
        <v>0</v>
      </c>
      <c r="F24" s="31" t="s">
        <v>66</v>
      </c>
      <c r="G24" s="21"/>
      <c r="H24" s="21"/>
      <c r="I24" s="32">
        <f>$I$22+$I$23</f>
        <v>0</v>
      </c>
    </row>
    <row r="26" spans="2:9" ht="15" customHeight="1" x14ac:dyDescent="0.45">
      <c r="B26" s="5" t="s">
        <v>67</v>
      </c>
      <c r="C26" s="5"/>
      <c r="D26" s="5"/>
      <c r="F26" s="5" t="s">
        <v>68</v>
      </c>
      <c r="G26" s="5"/>
      <c r="H26" s="5"/>
      <c r="I26" s="5"/>
    </row>
    <row r="27" spans="2:9" ht="15" customHeight="1" x14ac:dyDescent="0.45">
      <c r="B27" s="20" t="s">
        <v>69</v>
      </c>
      <c r="C27" s="21"/>
      <c r="D27" s="25"/>
      <c r="F27" s="20" t="s">
        <v>70</v>
      </c>
      <c r="G27" s="21"/>
      <c r="H27" s="21"/>
      <c r="I27" s="37">
        <f>IFERROR($I$22/$D$9,0)</f>
        <v>0</v>
      </c>
    </row>
    <row r="28" spans="2:9" ht="15" customHeight="1" x14ac:dyDescent="0.45">
      <c r="B28" s="20" t="s">
        <v>71</v>
      </c>
      <c r="C28" s="21"/>
      <c r="D28" s="25"/>
      <c r="F28" s="20" t="s">
        <v>72</v>
      </c>
      <c r="G28" s="21"/>
      <c r="H28" s="21"/>
      <c r="I28" s="37">
        <f>IFERROR($I$24/$D$15,0)</f>
        <v>0</v>
      </c>
    </row>
    <row r="29" spans="2:9" ht="15" customHeight="1" x14ac:dyDescent="0.45">
      <c r="B29" s="20" t="s">
        <v>73</v>
      </c>
      <c r="C29" s="29"/>
      <c r="F29" s="20" t="s">
        <v>30</v>
      </c>
      <c r="G29" s="21"/>
      <c r="H29" s="21"/>
      <c r="I29" s="38">
        <f>IFERROR($I$22/$D$24,0)</f>
        <v>0</v>
      </c>
    </row>
    <row r="30" spans="2:9" ht="15" customHeight="1" x14ac:dyDescent="0.45">
      <c r="B30" s="20" t="s">
        <v>74</v>
      </c>
      <c r="C30" s="29"/>
      <c r="F30" s="20" t="s">
        <v>75</v>
      </c>
      <c r="G30" s="21"/>
      <c r="H30" s="21"/>
      <c r="I30" s="37">
        <f>IFERROR($D$35/$I$20,0)</f>
        <v>0</v>
      </c>
    </row>
    <row r="31" spans="2:9" ht="15" customHeight="1" x14ac:dyDescent="0.45">
      <c r="B31" s="20" t="s">
        <v>76</v>
      </c>
      <c r="C31" s="21"/>
      <c r="D31" s="25"/>
      <c r="F31" s="20" t="s">
        <v>77</v>
      </c>
      <c r="G31" s="21"/>
      <c r="H31" s="21"/>
      <c r="I31" s="39">
        <f>IFERROR($D$9/$I$18,0)</f>
        <v>0</v>
      </c>
    </row>
    <row r="32" spans="2:9" ht="15" customHeight="1" x14ac:dyDescent="0.45">
      <c r="B32" s="20" t="s">
        <v>78</v>
      </c>
      <c r="C32" s="21"/>
      <c r="D32" s="25"/>
      <c r="F32" s="20" t="s">
        <v>51</v>
      </c>
      <c r="G32" s="21"/>
      <c r="H32" s="21"/>
      <c r="I32" s="30">
        <f>$D$16</f>
        <v>0</v>
      </c>
    </row>
    <row r="33" spans="2:9" ht="15" customHeight="1" x14ac:dyDescent="0.45">
      <c r="B33" s="20" t="s">
        <v>79</v>
      </c>
      <c r="C33" s="40"/>
      <c r="D33" s="30">
        <f>$C$33*$D$7</f>
        <v>0</v>
      </c>
      <c r="F33" s="20" t="s">
        <v>80</v>
      </c>
      <c r="G33" s="21"/>
      <c r="H33" s="21"/>
      <c r="I33" s="37">
        <f>IFERROR(($D$35+$D$24)/$I$18,0)</f>
        <v>0</v>
      </c>
    </row>
    <row r="34" spans="2:9" ht="15" customHeight="1" x14ac:dyDescent="0.45">
      <c r="B34" s="20" t="s">
        <v>81</v>
      </c>
      <c r="C34" s="29"/>
    </row>
    <row r="35" spans="2:9" ht="15" customHeight="1" x14ac:dyDescent="0.45">
      <c r="B35" s="31" t="s">
        <v>82</v>
      </c>
      <c r="C35" s="21"/>
      <c r="D35" s="32">
        <f>$D$27+$D$28+($C$29*$I$20)+($C$30*$I$18)+$D$31+$D$32+$D$33</f>
        <v>0</v>
      </c>
    </row>
    <row r="37" spans="2:9" ht="15" customHeight="1" x14ac:dyDescent="0.45">
      <c r="B37" s="5" t="s">
        <v>83</v>
      </c>
      <c r="C37" s="5"/>
      <c r="D37" s="5"/>
    </row>
    <row r="38" spans="2:9" ht="15" customHeight="1" x14ac:dyDescent="0.45">
      <c r="B38" s="20" t="s">
        <v>84</v>
      </c>
      <c r="C38" s="29"/>
    </row>
    <row r="39" spans="2:9" ht="15" customHeight="1" x14ac:dyDescent="0.45">
      <c r="B39" s="20" t="s">
        <v>85</v>
      </c>
      <c r="C39" s="29"/>
    </row>
    <row r="40" spans="2:9" ht="15" customHeight="1" x14ac:dyDescent="0.45">
      <c r="B40" s="20" t="s">
        <v>86</v>
      </c>
      <c r="C40" s="29"/>
    </row>
    <row r="41" spans="2:9" ht="15" customHeight="1" x14ac:dyDescent="0.45">
      <c r="B41" s="20" t="s">
        <v>87</v>
      </c>
      <c r="C41" s="29"/>
    </row>
    <row r="43" spans="2:9" ht="15" customHeight="1" x14ac:dyDescent="0.45">
      <c r="B43" s="6" t="s">
        <v>88</v>
      </c>
      <c r="C43" s="6"/>
      <c r="D43" s="6"/>
      <c r="E43" s="6"/>
      <c r="F43" s="6"/>
      <c r="G43" s="6"/>
      <c r="H43" s="6"/>
      <c r="I43" s="6"/>
    </row>
    <row r="44" spans="2:9" ht="15" customHeight="1" x14ac:dyDescent="0.45">
      <c r="B44" s="6"/>
      <c r="C44" s="6"/>
      <c r="D44" s="6"/>
      <c r="E44" s="6"/>
      <c r="F44" s="6"/>
      <c r="G44" s="6"/>
      <c r="H44" s="6"/>
      <c r="I44" s="6"/>
    </row>
  </sheetData>
  <sheetProtection password="CE4B" sheet="1" formatCells="0"/>
  <mergeCells count="19">
    <mergeCell ref="B37:D37"/>
    <mergeCell ref="B43:I44"/>
    <mergeCell ref="B6:D6"/>
    <mergeCell ref="F6:I6"/>
    <mergeCell ref="F17:I17"/>
    <mergeCell ref="B18:D18"/>
    <mergeCell ref="B26:D26"/>
    <mergeCell ref="F26:I26"/>
    <mergeCell ref="B4:C4"/>
    <mergeCell ref="D4:E4"/>
    <mergeCell ref="F4:G4"/>
    <mergeCell ref="H4:I4"/>
    <mergeCell ref="D5:F5"/>
    <mergeCell ref="B1:I1"/>
    <mergeCell ref="B2:I2"/>
    <mergeCell ref="B3:C3"/>
    <mergeCell ref="D3:E3"/>
    <mergeCell ref="F3:G3"/>
    <mergeCell ref="H3:I3"/>
  </mergeCells>
  <conditionalFormatting sqref="B2">
    <cfRule type="expression" dxfId="2" priority="2">
      <formula>AND($I$18&gt;0,$I$24&gt;0,$I$28&gt;=0.08,$I$29&gt;=1.25)</formula>
    </cfRule>
    <cfRule type="expression" dxfId="1" priority="3">
      <formula>AND($I$18&gt;0,OR($I$24&lt;=0,$I$29&lt;1))</formula>
    </cfRule>
    <cfRule type="expression" dxfId="0" priority="4">
      <formula>$I$18&gt;0</formula>
    </cfRule>
  </conditionalFormatting>
  <dataValidations count="3">
    <dataValidation type="list" sqref="D11" xr:uid="{00000000-0002-0000-0100-000000000000}">
      <formula1>"Yes,No"</formula1>
      <formula2>0</formula2>
    </dataValidation>
    <dataValidation type="list" sqref="H5" xr:uid="{00000000-0002-0000-0100-000001000000}">
      <formula1>"Current,Proforma"</formula1>
      <formula2>0</formula2>
    </dataValidation>
    <dataValidation type="whole" sqref="D22" xr:uid="{00000000-0002-0000-0100-000002000000}">
      <formula1>0</formula1>
      <formula2>30</formula2>
    </dataValidation>
  </dataValidations>
  <pageMargins left="0.75" right="0.75" top="1" bottom="1" header="0.511811023622047" footer="0.511811023622047"/>
  <pageSetup paperSize="9" orientation="portrait" horizontalDpi="300" verticalDpi="30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Z36"/>
  <sheetViews>
    <sheetView showGridLines="0" zoomScaleNormal="100" workbookViewId="0">
      <pane xSplit="3" ySplit="4" topLeftCell="D5" activePane="bottomRight" state="frozen"/>
      <selection pane="topRight" activeCell="D1" sqref="D1"/>
      <selection pane="bottomLeft" activeCell="A5" sqref="A5"/>
      <selection pane="bottomRight"/>
    </sheetView>
  </sheetViews>
  <sheetFormatPr defaultColWidth="8.6640625" defaultRowHeight="14.25" outlineLevelCol="1" x14ac:dyDescent="0.45"/>
  <cols>
    <col min="1" max="1" width="2" customWidth="1"/>
    <col min="2" max="2" width="30" customWidth="1"/>
    <col min="3" max="13" width="12" customWidth="1"/>
    <col min="16" max="26" width="13" hidden="1" customWidth="1" outlineLevel="1"/>
  </cols>
  <sheetData>
    <row r="1" spans="2:13" ht="27.75" customHeight="1" x14ac:dyDescent="0.45">
      <c r="B1" s="64" t="s">
        <v>89</v>
      </c>
      <c r="C1" s="64"/>
      <c r="D1" s="64"/>
      <c r="E1" s="64"/>
      <c r="F1" s="64"/>
      <c r="G1" s="64"/>
      <c r="H1" s="64"/>
      <c r="I1" s="64"/>
      <c r="J1" s="64"/>
      <c r="K1" s="64"/>
      <c r="L1" s="64"/>
      <c r="M1" s="64"/>
    </row>
    <row r="2" spans="2:13" ht="15" customHeight="1" x14ac:dyDescent="0.45">
      <c r="B2" s="65" t="s">
        <v>90</v>
      </c>
      <c r="C2" s="65"/>
      <c r="D2" s="65"/>
      <c r="E2" s="65"/>
      <c r="F2" s="65"/>
      <c r="G2" s="65"/>
      <c r="H2" s="65"/>
      <c r="I2" s="65"/>
      <c r="J2" s="65"/>
      <c r="K2" s="65"/>
      <c r="L2" s="65"/>
      <c r="M2" s="65"/>
    </row>
    <row r="4" spans="2:13" ht="15" customHeight="1" x14ac:dyDescent="0.45">
      <c r="B4" s="41" t="s">
        <v>91</v>
      </c>
      <c r="D4" s="42" t="s">
        <v>92</v>
      </c>
      <c r="E4" s="42" t="s">
        <v>93</v>
      </c>
      <c r="F4" s="42" t="s">
        <v>94</v>
      </c>
      <c r="G4" s="42" t="s">
        <v>95</v>
      </c>
      <c r="H4" s="42" t="s">
        <v>96</v>
      </c>
      <c r="I4" s="42" t="s">
        <v>97</v>
      </c>
      <c r="J4" s="42" t="s">
        <v>98</v>
      </c>
      <c r="K4" s="42" t="s">
        <v>99</v>
      </c>
      <c r="L4" s="42" t="s">
        <v>100</v>
      </c>
      <c r="M4" s="42" t="s">
        <v>101</v>
      </c>
    </row>
    <row r="5" spans="2:13" ht="15" customHeight="1" x14ac:dyDescent="0.45">
      <c r="B5" s="43" t="s">
        <v>54</v>
      </c>
      <c r="D5" s="44">
        <f>'MF Analyzer'!$I$18*(1+'MF Analyzer'!$C$38)^0</f>
        <v>0</v>
      </c>
      <c r="E5" s="44">
        <f>'MF Analyzer'!$I$18*(1+'MF Analyzer'!$C$38)^1</f>
        <v>0</v>
      </c>
      <c r="F5" s="44">
        <f>'MF Analyzer'!$I$18*(1+'MF Analyzer'!$C$38)^2</f>
        <v>0</v>
      </c>
      <c r="G5" s="44">
        <f>'MF Analyzer'!$I$18*(1+'MF Analyzer'!$C$38)^3</f>
        <v>0</v>
      </c>
      <c r="H5" s="44">
        <f>'MF Analyzer'!$I$18*(1+'MF Analyzer'!$C$38)^4</f>
        <v>0</v>
      </c>
      <c r="I5" s="44">
        <f>'MF Analyzer'!$I$18*(1+'MF Analyzer'!$C$38)^5</f>
        <v>0</v>
      </c>
      <c r="J5" s="44">
        <f>'MF Analyzer'!$I$18*(1+'MF Analyzer'!$C$38)^6</f>
        <v>0</v>
      </c>
      <c r="K5" s="44">
        <f>'MF Analyzer'!$I$18*(1+'MF Analyzer'!$C$38)^7</f>
        <v>0</v>
      </c>
      <c r="L5" s="44">
        <f>'MF Analyzer'!$I$18*(1+'MF Analyzer'!$C$38)^8</f>
        <v>0</v>
      </c>
      <c r="M5" s="44">
        <f>'MF Analyzer'!$I$18*(1+'MF Analyzer'!$C$38)^9</f>
        <v>0</v>
      </c>
    </row>
    <row r="6" spans="2:13" ht="15" customHeight="1" x14ac:dyDescent="0.45">
      <c r="B6" s="43" t="s">
        <v>56</v>
      </c>
      <c r="D6" s="44">
        <f>-D5*'MF Analyzer'!$C$34</f>
        <v>0</v>
      </c>
      <c r="E6" s="44">
        <f>-E5*'MF Analyzer'!$C$34</f>
        <v>0</v>
      </c>
      <c r="F6" s="44">
        <f>-F5*'MF Analyzer'!$C$34</f>
        <v>0</v>
      </c>
      <c r="G6" s="44">
        <f>-G5*'MF Analyzer'!$C$34</f>
        <v>0</v>
      </c>
      <c r="H6" s="44">
        <f>-H5*'MF Analyzer'!$C$34</f>
        <v>0</v>
      </c>
      <c r="I6" s="44">
        <f>-I5*'MF Analyzer'!$C$34</f>
        <v>0</v>
      </c>
      <c r="J6" s="44">
        <f>-J5*'MF Analyzer'!$C$34</f>
        <v>0</v>
      </c>
      <c r="K6" s="44">
        <f>-K5*'MF Analyzer'!$C$34</f>
        <v>0</v>
      </c>
      <c r="L6" s="44">
        <f>-L5*'MF Analyzer'!$C$34</f>
        <v>0</v>
      </c>
      <c r="M6" s="44">
        <f>-M5*'MF Analyzer'!$C$34</f>
        <v>0</v>
      </c>
    </row>
    <row r="7" spans="2:13" ht="15" customHeight="1" x14ac:dyDescent="0.45">
      <c r="B7" s="43" t="s">
        <v>58</v>
      </c>
      <c r="D7" s="44">
        <f t="shared" ref="D7:M7" si="0">D5+D6</f>
        <v>0</v>
      </c>
      <c r="E7" s="44">
        <f t="shared" si="0"/>
        <v>0</v>
      </c>
      <c r="F7" s="44">
        <f t="shared" si="0"/>
        <v>0</v>
      </c>
      <c r="G7" s="44">
        <f t="shared" si="0"/>
        <v>0</v>
      </c>
      <c r="H7" s="44">
        <f t="shared" si="0"/>
        <v>0</v>
      </c>
      <c r="I7" s="44">
        <f t="shared" si="0"/>
        <v>0</v>
      </c>
      <c r="J7" s="44">
        <f t="shared" si="0"/>
        <v>0</v>
      </c>
      <c r="K7" s="44">
        <f t="shared" si="0"/>
        <v>0</v>
      </c>
      <c r="L7" s="44">
        <f t="shared" si="0"/>
        <v>0</v>
      </c>
      <c r="M7" s="44">
        <f t="shared" si="0"/>
        <v>0</v>
      </c>
    </row>
    <row r="8" spans="2:13" ht="15" customHeight="1" x14ac:dyDescent="0.45">
      <c r="B8" s="43" t="s">
        <v>102</v>
      </c>
      <c r="D8" s="44">
        <f>-'MF Analyzer'!$D$35*(1+'MF Analyzer'!$C$39)^0</f>
        <v>0</v>
      </c>
      <c r="E8" s="44">
        <f>-'MF Analyzer'!$D$35*(1+'MF Analyzer'!$C$39)^1</f>
        <v>0</v>
      </c>
      <c r="F8" s="44">
        <f>-'MF Analyzer'!$D$35*(1+'MF Analyzer'!$C$39)^2</f>
        <v>0</v>
      </c>
      <c r="G8" s="44">
        <f>-'MF Analyzer'!$D$35*(1+'MF Analyzer'!$C$39)^3</f>
        <v>0</v>
      </c>
      <c r="H8" s="44">
        <f>-'MF Analyzer'!$D$35*(1+'MF Analyzer'!$C$39)^4</f>
        <v>0</v>
      </c>
      <c r="I8" s="44">
        <f>-'MF Analyzer'!$D$35*(1+'MF Analyzer'!$C$39)^5</f>
        <v>0</v>
      </c>
      <c r="J8" s="44">
        <f>-'MF Analyzer'!$D$35*(1+'MF Analyzer'!$C$39)^6</f>
        <v>0</v>
      </c>
      <c r="K8" s="44">
        <f>-'MF Analyzer'!$D$35*(1+'MF Analyzer'!$C$39)^7</f>
        <v>0</v>
      </c>
      <c r="L8" s="44">
        <f>-'MF Analyzer'!$D$35*(1+'MF Analyzer'!$C$39)^8</f>
        <v>0</v>
      </c>
      <c r="M8" s="44">
        <f>-'MF Analyzer'!$D$35*(1+'MF Analyzer'!$C$39)^9</f>
        <v>0</v>
      </c>
    </row>
    <row r="9" spans="2:13" ht="15" customHeight="1" x14ac:dyDescent="0.45">
      <c r="B9" s="45" t="s">
        <v>62</v>
      </c>
      <c r="D9" s="44">
        <f t="shared" ref="D9:M9" si="1">D7+D8</f>
        <v>0</v>
      </c>
      <c r="E9" s="44">
        <f t="shared" si="1"/>
        <v>0</v>
      </c>
      <c r="F9" s="44">
        <f t="shared" si="1"/>
        <v>0</v>
      </c>
      <c r="G9" s="44">
        <f t="shared" si="1"/>
        <v>0</v>
      </c>
      <c r="H9" s="44">
        <f t="shared" si="1"/>
        <v>0</v>
      </c>
      <c r="I9" s="44">
        <f t="shared" si="1"/>
        <v>0</v>
      </c>
      <c r="J9" s="44">
        <f t="shared" si="1"/>
        <v>0</v>
      </c>
      <c r="K9" s="44">
        <f t="shared" si="1"/>
        <v>0</v>
      </c>
      <c r="L9" s="44">
        <f t="shared" si="1"/>
        <v>0</v>
      </c>
      <c r="M9" s="44">
        <f t="shared" si="1"/>
        <v>0</v>
      </c>
    </row>
    <row r="10" spans="2:13" ht="15" customHeight="1" x14ac:dyDescent="0.45">
      <c r="B10" s="43" t="s">
        <v>103</v>
      </c>
      <c r="D10" s="44">
        <f>IF('MF Analyzer'!$D$22&gt;=1,-('MF Analyzer'!$D$19*'MF Analyzer'!$C$20),-(IFERROR(-PMT('MF Analyzer'!$C$20/12,'MF Analyzer'!$D$21*12,'MF Analyzer'!$D$19),0)*12))</f>
        <v>0</v>
      </c>
      <c r="E10" s="44">
        <f>IF('MF Analyzer'!$D$22&gt;=2,-('MF Analyzer'!$D$19*'MF Analyzer'!$C$20),-(IFERROR(-PMT('MF Analyzer'!$C$20/12,'MF Analyzer'!$D$21*12,'MF Analyzer'!$D$19),0)*12))</f>
        <v>0</v>
      </c>
      <c r="F10" s="44">
        <f>IF('MF Analyzer'!$D$22&gt;=3,-('MF Analyzer'!$D$19*'MF Analyzer'!$C$20),-(IFERROR(-PMT('MF Analyzer'!$C$20/12,'MF Analyzer'!$D$21*12,'MF Analyzer'!$D$19),0)*12))</f>
        <v>0</v>
      </c>
      <c r="G10" s="44">
        <f>IF('MF Analyzer'!$D$22&gt;=4,-('MF Analyzer'!$D$19*'MF Analyzer'!$C$20),-(IFERROR(-PMT('MF Analyzer'!$C$20/12,'MF Analyzer'!$D$21*12,'MF Analyzer'!$D$19),0)*12))</f>
        <v>0</v>
      </c>
      <c r="H10" s="44">
        <f>IF('MF Analyzer'!$D$22&gt;=5,-('MF Analyzer'!$D$19*'MF Analyzer'!$C$20),-(IFERROR(-PMT('MF Analyzer'!$C$20/12,'MF Analyzer'!$D$21*12,'MF Analyzer'!$D$19),0)*12))</f>
        <v>0</v>
      </c>
      <c r="I10" s="44">
        <f>IF('MF Analyzer'!$D$22&gt;=6,-('MF Analyzer'!$D$19*'MF Analyzer'!$C$20),-(IFERROR(-PMT('MF Analyzer'!$C$20/12,'MF Analyzer'!$D$21*12,'MF Analyzer'!$D$19),0)*12))</f>
        <v>0</v>
      </c>
      <c r="J10" s="44">
        <f>IF('MF Analyzer'!$D$22&gt;=7,-('MF Analyzer'!$D$19*'MF Analyzer'!$C$20),-(IFERROR(-PMT('MF Analyzer'!$C$20/12,'MF Analyzer'!$D$21*12,'MF Analyzer'!$D$19),0)*12))</f>
        <v>0</v>
      </c>
      <c r="K10" s="44">
        <f>IF('MF Analyzer'!$D$22&gt;=8,-('MF Analyzer'!$D$19*'MF Analyzer'!$C$20),-(IFERROR(-PMT('MF Analyzer'!$C$20/12,'MF Analyzer'!$D$21*12,'MF Analyzer'!$D$19),0)*12))</f>
        <v>0</v>
      </c>
      <c r="L10" s="44">
        <f>IF('MF Analyzer'!$D$22&gt;=9,-('MF Analyzer'!$D$19*'MF Analyzer'!$C$20),-(IFERROR(-PMT('MF Analyzer'!$C$20/12,'MF Analyzer'!$D$21*12,'MF Analyzer'!$D$19),0)*12))</f>
        <v>0</v>
      </c>
      <c r="M10" s="44">
        <f>IF('MF Analyzer'!$D$22&gt;=10,-('MF Analyzer'!$D$19*'MF Analyzer'!$C$20),-(IFERROR(-PMT('MF Analyzer'!$C$20/12,'MF Analyzer'!$D$21*12,'MF Analyzer'!$D$19),0)*12))</f>
        <v>0</v>
      </c>
    </row>
    <row r="11" spans="2:13" ht="15" customHeight="1" x14ac:dyDescent="0.45">
      <c r="B11" s="45" t="s">
        <v>104</v>
      </c>
      <c r="D11" s="44">
        <f t="shared" ref="D11:M11" si="2">D9+D10</f>
        <v>0</v>
      </c>
      <c r="E11" s="44">
        <f t="shared" si="2"/>
        <v>0</v>
      </c>
      <c r="F11" s="44">
        <f t="shared" si="2"/>
        <v>0</v>
      </c>
      <c r="G11" s="44">
        <f t="shared" si="2"/>
        <v>0</v>
      </c>
      <c r="H11" s="44">
        <f t="shared" si="2"/>
        <v>0</v>
      </c>
      <c r="I11" s="44">
        <f t="shared" si="2"/>
        <v>0</v>
      </c>
      <c r="J11" s="44">
        <f t="shared" si="2"/>
        <v>0</v>
      </c>
      <c r="K11" s="44">
        <f t="shared" si="2"/>
        <v>0</v>
      </c>
      <c r="L11" s="44">
        <f t="shared" si="2"/>
        <v>0</v>
      </c>
      <c r="M11" s="44">
        <f t="shared" si="2"/>
        <v>0</v>
      </c>
    </row>
    <row r="12" spans="2:13" ht="15" customHeight="1" x14ac:dyDescent="0.45">
      <c r="B12" s="43" t="s">
        <v>105</v>
      </c>
      <c r="D12" s="44">
        <f>IF('MF Analyzer'!$D$22&gt;=1,'MF Analyzer'!$D$19,IFERROR('MF Analyzer'!$D$19*(1+'MF Analyzer'!$C$20/12)^((1-'MF Analyzer'!$D$22)*12)-IFERROR(-PMT('MF Analyzer'!$C$20/12,'MF Analyzer'!$D$21*12,'MF Analyzer'!$D$19),0)*(((1+'MF Analyzer'!$C$20/12)^((1-'MF Analyzer'!$D$22)*12)-1)/('MF Analyzer'!$C$20/12)),0))</f>
        <v>0</v>
      </c>
      <c r="E12" s="44">
        <f>IF('MF Analyzer'!$D$22&gt;=2,'MF Analyzer'!$D$19,IFERROR('MF Analyzer'!$D$19*(1+'MF Analyzer'!$C$20/12)^((2-'MF Analyzer'!$D$22)*12)-IFERROR(-PMT('MF Analyzer'!$C$20/12,'MF Analyzer'!$D$21*12,'MF Analyzer'!$D$19),0)*(((1+'MF Analyzer'!$C$20/12)^((2-'MF Analyzer'!$D$22)*12)-1)/('MF Analyzer'!$C$20/12)),0))</f>
        <v>0</v>
      </c>
      <c r="F12" s="44">
        <f>IF('MF Analyzer'!$D$22&gt;=3,'MF Analyzer'!$D$19,IFERROR('MF Analyzer'!$D$19*(1+'MF Analyzer'!$C$20/12)^((3-'MF Analyzer'!$D$22)*12)-IFERROR(-PMT('MF Analyzer'!$C$20/12,'MF Analyzer'!$D$21*12,'MF Analyzer'!$D$19),0)*(((1+'MF Analyzer'!$C$20/12)^((3-'MF Analyzer'!$D$22)*12)-1)/('MF Analyzer'!$C$20/12)),0))</f>
        <v>0</v>
      </c>
      <c r="G12" s="44">
        <f>IF('MF Analyzer'!$D$22&gt;=4,'MF Analyzer'!$D$19,IFERROR('MF Analyzer'!$D$19*(1+'MF Analyzer'!$C$20/12)^((4-'MF Analyzer'!$D$22)*12)-IFERROR(-PMT('MF Analyzer'!$C$20/12,'MF Analyzer'!$D$21*12,'MF Analyzer'!$D$19),0)*(((1+'MF Analyzer'!$C$20/12)^((4-'MF Analyzer'!$D$22)*12)-1)/('MF Analyzer'!$C$20/12)),0))</f>
        <v>0</v>
      </c>
      <c r="H12" s="44">
        <f>IF('MF Analyzer'!$D$22&gt;=5,'MF Analyzer'!$D$19,IFERROR('MF Analyzer'!$D$19*(1+'MF Analyzer'!$C$20/12)^((5-'MF Analyzer'!$D$22)*12)-IFERROR(-PMT('MF Analyzer'!$C$20/12,'MF Analyzer'!$D$21*12,'MF Analyzer'!$D$19),0)*(((1+'MF Analyzer'!$C$20/12)^((5-'MF Analyzer'!$D$22)*12)-1)/('MF Analyzer'!$C$20/12)),0))</f>
        <v>0</v>
      </c>
      <c r="I12" s="44">
        <f>IF('MF Analyzer'!$D$22&gt;=6,'MF Analyzer'!$D$19,IFERROR('MF Analyzer'!$D$19*(1+'MF Analyzer'!$C$20/12)^((6-'MF Analyzer'!$D$22)*12)-IFERROR(-PMT('MF Analyzer'!$C$20/12,'MF Analyzer'!$D$21*12,'MF Analyzer'!$D$19),0)*(((1+'MF Analyzer'!$C$20/12)^((6-'MF Analyzer'!$D$22)*12)-1)/('MF Analyzer'!$C$20/12)),0))</f>
        <v>0</v>
      </c>
      <c r="J12" s="44">
        <f>IF('MF Analyzer'!$D$22&gt;=7,'MF Analyzer'!$D$19,IFERROR('MF Analyzer'!$D$19*(1+'MF Analyzer'!$C$20/12)^((7-'MF Analyzer'!$D$22)*12)-IFERROR(-PMT('MF Analyzer'!$C$20/12,'MF Analyzer'!$D$21*12,'MF Analyzer'!$D$19),0)*(((1+'MF Analyzer'!$C$20/12)^((7-'MF Analyzer'!$D$22)*12)-1)/('MF Analyzer'!$C$20/12)),0))</f>
        <v>0</v>
      </c>
      <c r="K12" s="44">
        <f>IF('MF Analyzer'!$D$22&gt;=8,'MF Analyzer'!$D$19,IFERROR('MF Analyzer'!$D$19*(1+'MF Analyzer'!$C$20/12)^((8-'MF Analyzer'!$D$22)*12)-IFERROR(-PMT('MF Analyzer'!$C$20/12,'MF Analyzer'!$D$21*12,'MF Analyzer'!$D$19),0)*(((1+'MF Analyzer'!$C$20/12)^((8-'MF Analyzer'!$D$22)*12)-1)/('MF Analyzer'!$C$20/12)),0))</f>
        <v>0</v>
      </c>
      <c r="L12" s="44">
        <f>IF('MF Analyzer'!$D$22&gt;=9,'MF Analyzer'!$D$19,IFERROR('MF Analyzer'!$D$19*(1+'MF Analyzer'!$C$20/12)^((9-'MF Analyzer'!$D$22)*12)-IFERROR(-PMT('MF Analyzer'!$C$20/12,'MF Analyzer'!$D$21*12,'MF Analyzer'!$D$19),0)*(((1+'MF Analyzer'!$C$20/12)^((9-'MF Analyzer'!$D$22)*12)-1)/('MF Analyzer'!$C$20/12)),0))</f>
        <v>0</v>
      </c>
      <c r="M12" s="44">
        <f>IF('MF Analyzer'!$D$22&gt;=10,'MF Analyzer'!$D$19,IFERROR('MF Analyzer'!$D$19*(1+'MF Analyzer'!$C$20/12)^((10-'MF Analyzer'!$D$22)*12)-IFERROR(-PMT('MF Analyzer'!$C$20/12,'MF Analyzer'!$D$21*12,'MF Analyzer'!$D$19),0)*(((1+'MF Analyzer'!$C$20/12)^((10-'MF Analyzer'!$D$22)*12)-1)/('MF Analyzer'!$C$20/12)),0))</f>
        <v>0</v>
      </c>
    </row>
    <row r="13" spans="2:13" ht="15" customHeight="1" x14ac:dyDescent="0.45">
      <c r="B13" s="43" t="s">
        <v>106</v>
      </c>
      <c r="D13" s="44">
        <f>IFERROR(D9/'MF Analyzer'!$C$40,0)</f>
        <v>0</v>
      </c>
      <c r="E13" s="44">
        <f>IFERROR(E9/'MF Analyzer'!$C$40,0)</f>
        <v>0</v>
      </c>
      <c r="F13" s="44">
        <f>IFERROR(F9/'MF Analyzer'!$C$40,0)</f>
        <v>0</v>
      </c>
      <c r="G13" s="44">
        <f>IFERROR(G9/'MF Analyzer'!$C$40,0)</f>
        <v>0</v>
      </c>
      <c r="H13" s="44">
        <f>IFERROR(H9/'MF Analyzer'!$C$40,0)</f>
        <v>0</v>
      </c>
      <c r="I13" s="44">
        <f>IFERROR(I9/'MF Analyzer'!$C$40,0)</f>
        <v>0</v>
      </c>
      <c r="J13" s="44">
        <f>IFERROR(J9/'MF Analyzer'!$C$40,0)</f>
        <v>0</v>
      </c>
      <c r="K13" s="44">
        <f>IFERROR(K9/'MF Analyzer'!$C$40,0)</f>
        <v>0</v>
      </c>
      <c r="L13" s="44">
        <f>IFERROR(L9/'MF Analyzer'!$C$40,0)</f>
        <v>0</v>
      </c>
      <c r="M13" s="44">
        <f>IFERROR(M9/'MF Analyzer'!$C$40,0)</f>
        <v>0</v>
      </c>
    </row>
    <row r="14" spans="2:13" ht="15" customHeight="1" x14ac:dyDescent="0.45">
      <c r="B14" s="45" t="s">
        <v>107</v>
      </c>
      <c r="D14" s="44">
        <f t="shared" ref="D14:M14" si="3">D13-D12</f>
        <v>0</v>
      </c>
      <c r="E14" s="44">
        <f t="shared" si="3"/>
        <v>0</v>
      </c>
      <c r="F14" s="44">
        <f t="shared" si="3"/>
        <v>0</v>
      </c>
      <c r="G14" s="44">
        <f t="shared" si="3"/>
        <v>0</v>
      </c>
      <c r="H14" s="44">
        <f t="shared" si="3"/>
        <v>0</v>
      </c>
      <c r="I14" s="44">
        <f t="shared" si="3"/>
        <v>0</v>
      </c>
      <c r="J14" s="44">
        <f t="shared" si="3"/>
        <v>0</v>
      </c>
      <c r="K14" s="44">
        <f t="shared" si="3"/>
        <v>0</v>
      </c>
      <c r="L14" s="44">
        <f t="shared" si="3"/>
        <v>0</v>
      </c>
      <c r="M14" s="44">
        <f t="shared" si="3"/>
        <v>0</v>
      </c>
    </row>
    <row r="17" spans="2:26" ht="15" customHeight="1" x14ac:dyDescent="0.45">
      <c r="B17" s="66" t="s">
        <v>108</v>
      </c>
      <c r="C17" s="66"/>
    </row>
    <row r="18" spans="2:26" ht="15" customHeight="1" x14ac:dyDescent="0.45">
      <c r="B18" s="46" t="s">
        <v>109</v>
      </c>
      <c r="C18" s="47">
        <f>H13</f>
        <v>0</v>
      </c>
      <c r="P18">
        <f>-'MF Analyzer'!$D$15</f>
        <v>0</v>
      </c>
      <c r="Q18" s="48">
        <f>D11</f>
        <v>0</v>
      </c>
      <c r="R18" s="48">
        <f>E11</f>
        <v>0</v>
      </c>
      <c r="S18" s="48">
        <f>F11</f>
        <v>0</v>
      </c>
      <c r="T18" s="48">
        <f>G11</f>
        <v>0</v>
      </c>
      <c r="U18">
        <f>H11+(H13-H13*'MF Analyzer'!$C$41-H12)</f>
        <v>0</v>
      </c>
    </row>
    <row r="19" spans="2:26" ht="15" customHeight="1" x14ac:dyDescent="0.45">
      <c r="B19" s="46" t="s">
        <v>110</v>
      </c>
      <c r="C19" s="47">
        <f>-H13*'MF Analyzer'!$C$41</f>
        <v>0</v>
      </c>
    </row>
    <row r="20" spans="2:26" ht="15" customHeight="1" x14ac:dyDescent="0.45">
      <c r="B20" s="46" t="s">
        <v>111</v>
      </c>
      <c r="C20" s="47">
        <f>-H12</f>
        <v>0</v>
      </c>
    </row>
    <row r="21" spans="2:26" ht="15" customHeight="1" x14ac:dyDescent="0.45">
      <c r="B21" s="49" t="s">
        <v>112</v>
      </c>
      <c r="C21" s="50">
        <f>H13-H13*'MF Analyzer'!$C$41-H12</f>
        <v>0</v>
      </c>
    </row>
    <row r="22" spans="2:26" ht="15" customHeight="1" x14ac:dyDescent="0.45">
      <c r="B22" s="46" t="s">
        <v>113</v>
      </c>
      <c r="C22" s="47">
        <f>SUM(D11:H11)</f>
        <v>0</v>
      </c>
    </row>
    <row r="23" spans="2:26" ht="15" customHeight="1" x14ac:dyDescent="0.45">
      <c r="B23" s="49" t="s">
        <v>114</v>
      </c>
      <c r="C23" s="50">
        <f>C22+C21-'MF Analyzer'!$D$15</f>
        <v>0</v>
      </c>
    </row>
    <row r="24" spans="2:26" ht="15" customHeight="1" x14ac:dyDescent="0.45">
      <c r="B24" s="46" t="s">
        <v>115</v>
      </c>
      <c r="C24" s="51">
        <f>IFERROR((C22+C21)/'MF Analyzer'!$D$15,0)</f>
        <v>0</v>
      </c>
    </row>
    <row r="25" spans="2:26" ht="15" customHeight="1" x14ac:dyDescent="0.45">
      <c r="B25" s="46" t="s">
        <v>116</v>
      </c>
      <c r="C25" s="52">
        <f>IFERROR((C22/5)/'MF Analyzer'!$D$15,0)</f>
        <v>0</v>
      </c>
    </row>
    <row r="26" spans="2:26" ht="15" customHeight="1" x14ac:dyDescent="0.45">
      <c r="B26" s="49" t="s">
        <v>117</v>
      </c>
      <c r="C26" s="53">
        <f>IFERROR(IRR(P18:U18),0)</f>
        <v>0</v>
      </c>
    </row>
    <row r="27" spans="2:26" ht="15" customHeight="1" x14ac:dyDescent="0.45">
      <c r="B27" s="66" t="s">
        <v>118</v>
      </c>
      <c r="C27" s="66"/>
    </row>
    <row r="28" spans="2:26" ht="15" customHeight="1" x14ac:dyDescent="0.45">
      <c r="B28" s="46" t="s">
        <v>109</v>
      </c>
      <c r="C28" s="47">
        <f>M13</f>
        <v>0</v>
      </c>
      <c r="P28">
        <f>-'MF Analyzer'!$D$15</f>
        <v>0</v>
      </c>
      <c r="Q28" s="48">
        <f t="shared" ref="Q28:Y28" si="4">D11</f>
        <v>0</v>
      </c>
      <c r="R28" s="48">
        <f t="shared" si="4"/>
        <v>0</v>
      </c>
      <c r="S28" s="48">
        <f t="shared" si="4"/>
        <v>0</v>
      </c>
      <c r="T28" s="48">
        <f t="shared" si="4"/>
        <v>0</v>
      </c>
      <c r="U28" s="48">
        <f t="shared" si="4"/>
        <v>0</v>
      </c>
      <c r="V28" s="48">
        <f t="shared" si="4"/>
        <v>0</v>
      </c>
      <c r="W28" s="48">
        <f t="shared" si="4"/>
        <v>0</v>
      </c>
      <c r="X28" s="48">
        <f t="shared" si="4"/>
        <v>0</v>
      </c>
      <c r="Y28" s="48">
        <f t="shared" si="4"/>
        <v>0</v>
      </c>
      <c r="Z28">
        <f>M11+(M13-M13*'MF Analyzer'!$C$41-M12)</f>
        <v>0</v>
      </c>
    </row>
    <row r="29" spans="2:26" ht="15" customHeight="1" x14ac:dyDescent="0.45">
      <c r="B29" s="46" t="s">
        <v>110</v>
      </c>
      <c r="C29" s="47">
        <f>-M13*'MF Analyzer'!$C$41</f>
        <v>0</v>
      </c>
    </row>
    <row r="30" spans="2:26" ht="15" customHeight="1" x14ac:dyDescent="0.45">
      <c r="B30" s="46" t="s">
        <v>111</v>
      </c>
      <c r="C30" s="47">
        <f>-M12</f>
        <v>0</v>
      </c>
    </row>
    <row r="31" spans="2:26" ht="15" customHeight="1" x14ac:dyDescent="0.45">
      <c r="B31" s="49" t="s">
        <v>112</v>
      </c>
      <c r="C31" s="50">
        <f>M13-M13*'MF Analyzer'!$C$41-M12</f>
        <v>0</v>
      </c>
    </row>
    <row r="32" spans="2:26" ht="15" customHeight="1" x14ac:dyDescent="0.45">
      <c r="B32" s="46" t="s">
        <v>113</v>
      </c>
      <c r="C32" s="47">
        <f>SUM(D11:M11)</f>
        <v>0</v>
      </c>
    </row>
    <row r="33" spans="2:3" ht="15" customHeight="1" x14ac:dyDescent="0.45">
      <c r="B33" s="49" t="s">
        <v>114</v>
      </c>
      <c r="C33" s="50">
        <f>C32+C31-'MF Analyzer'!$D$15</f>
        <v>0</v>
      </c>
    </row>
    <row r="34" spans="2:3" ht="15" customHeight="1" x14ac:dyDescent="0.45">
      <c r="B34" s="46" t="s">
        <v>115</v>
      </c>
      <c r="C34" s="51">
        <f>IFERROR((C32+C31)/'MF Analyzer'!$D$15,0)</f>
        <v>0</v>
      </c>
    </row>
    <row r="35" spans="2:3" ht="15" customHeight="1" x14ac:dyDescent="0.45">
      <c r="B35" s="46" t="s">
        <v>116</v>
      </c>
      <c r="C35" s="52">
        <f>IFERROR((C32/10)/'MF Analyzer'!$D$15,0)</f>
        <v>0</v>
      </c>
    </row>
    <row r="36" spans="2:3" ht="15" customHeight="1" x14ac:dyDescent="0.45">
      <c r="B36" s="49" t="s">
        <v>117</v>
      </c>
      <c r="C36" s="53">
        <f>IFERROR(IRR(P28:Z28),0)</f>
        <v>0</v>
      </c>
    </row>
  </sheetData>
  <sheetProtection password="CE4B" sheet="1" formatCells="0"/>
  <mergeCells count="4">
    <mergeCell ref="B1:M1"/>
    <mergeCell ref="B2:M2"/>
    <mergeCell ref="B17:C17"/>
    <mergeCell ref="B27:C27"/>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22"/>
  <sheetViews>
    <sheetView showGridLines="0" zoomScaleNormal="100" workbookViewId="0"/>
  </sheetViews>
  <sheetFormatPr defaultColWidth="8.6640625" defaultRowHeight="14.25" x14ac:dyDescent="0.45"/>
  <cols>
    <col min="1" max="1" width="2" customWidth="1"/>
    <col min="2" max="2" width="34" customWidth="1"/>
    <col min="3" max="3" width="14" customWidth="1"/>
    <col min="4" max="4" width="3" customWidth="1"/>
    <col min="5" max="5" width="34" customWidth="1"/>
    <col min="6" max="6" width="14" customWidth="1"/>
  </cols>
  <sheetData>
    <row r="1" spans="2:6" ht="27.75" customHeight="1" x14ac:dyDescent="0.45">
      <c r="B1" s="67" t="s">
        <v>119</v>
      </c>
      <c r="C1" s="67"/>
      <c r="D1" s="67"/>
      <c r="E1" s="67"/>
      <c r="F1" s="67"/>
    </row>
    <row r="2" spans="2:6" ht="15" customHeight="1" x14ac:dyDescent="0.45">
      <c r="B2" s="68" t="s">
        <v>120</v>
      </c>
      <c r="C2" s="68"/>
      <c r="D2" s="68"/>
      <c r="E2" s="68"/>
      <c r="F2" s="68"/>
    </row>
    <row r="4" spans="2:6" ht="15" customHeight="1" x14ac:dyDescent="0.45">
      <c r="B4" s="66" t="s">
        <v>121</v>
      </c>
      <c r="C4" s="66"/>
      <c r="E4" s="66" t="s">
        <v>122</v>
      </c>
      <c r="F4" s="66"/>
    </row>
    <row r="5" spans="2:6" ht="15" customHeight="1" x14ac:dyDescent="0.45">
      <c r="B5" s="54" t="s">
        <v>123</v>
      </c>
      <c r="C5" s="47">
        <f>'MF Analyzer'!$D$15</f>
        <v>0</v>
      </c>
      <c r="E5" s="54" t="s">
        <v>124</v>
      </c>
      <c r="F5" s="47">
        <f>SUM('10-Year Proforma'!D11:M11)</f>
        <v>0</v>
      </c>
    </row>
    <row r="6" spans="2:6" ht="15" customHeight="1" x14ac:dyDescent="0.45">
      <c r="B6" s="54" t="s">
        <v>125</v>
      </c>
      <c r="C6" s="55"/>
      <c r="E6" s="54" t="s">
        <v>126</v>
      </c>
      <c r="F6" s="47">
        <f>'10-Year Proforma'!M13-'10-Year Proforma'!M13*'MF Analyzer'!$C$41-'10-Year Proforma'!M12</f>
        <v>0</v>
      </c>
    </row>
    <row r="7" spans="2:6" ht="15" customHeight="1" x14ac:dyDescent="0.45">
      <c r="B7" s="54" t="s">
        <v>127</v>
      </c>
      <c r="C7" s="55"/>
      <c r="E7" s="54" t="s">
        <v>128</v>
      </c>
      <c r="F7" s="47">
        <f>$F$5+$F$6</f>
        <v>0</v>
      </c>
    </row>
    <row r="8" spans="2:6" ht="15" customHeight="1" x14ac:dyDescent="0.45">
      <c r="B8" s="54" t="s">
        <v>129</v>
      </c>
      <c r="C8" s="47">
        <f>1-$C$7</f>
        <v>1</v>
      </c>
      <c r="E8" s="54" t="s">
        <v>130</v>
      </c>
      <c r="F8" s="47">
        <f>$F$7-$C$5</f>
        <v>0</v>
      </c>
    </row>
    <row r="9" spans="2:6" ht="15" customHeight="1" x14ac:dyDescent="0.45">
      <c r="B9" s="54" t="s">
        <v>131</v>
      </c>
      <c r="C9" s="56"/>
    </row>
    <row r="11" spans="2:6" ht="15" customHeight="1" x14ac:dyDescent="0.45">
      <c r="B11" s="66" t="s">
        <v>132</v>
      </c>
      <c r="C11" s="66"/>
      <c r="E11" s="66" t="s">
        <v>133</v>
      </c>
      <c r="F11" s="66"/>
    </row>
    <row r="12" spans="2:6" ht="15" customHeight="1" x14ac:dyDescent="0.45">
      <c r="B12" s="54" t="s">
        <v>134</v>
      </c>
      <c r="C12" s="47">
        <f>$C$5</f>
        <v>0</v>
      </c>
      <c r="E12" s="54" t="s">
        <v>135</v>
      </c>
      <c r="F12" s="47">
        <f>MAX($F$8-$C$13,0)*$C$8</f>
        <v>0</v>
      </c>
    </row>
    <row r="13" spans="2:6" ht="15" customHeight="1" x14ac:dyDescent="0.45">
      <c r="B13" s="54" t="s">
        <v>136</v>
      </c>
      <c r="C13" s="47">
        <f>$C$5*$C$6*$C$9</f>
        <v>0</v>
      </c>
      <c r="E13" s="54" t="s">
        <v>137</v>
      </c>
      <c r="F13" s="50">
        <f>$F$12</f>
        <v>0</v>
      </c>
    </row>
    <row r="14" spans="2:6" ht="15" customHeight="1" x14ac:dyDescent="0.45">
      <c r="B14" s="54" t="s">
        <v>138</v>
      </c>
      <c r="C14" s="47">
        <f>MAX($F$8-$C$13,0)*$C$7</f>
        <v>0</v>
      </c>
      <c r="E14" s="54" t="s">
        <v>139</v>
      </c>
      <c r="F14" s="52">
        <f>IFERROR($F$12/$F$8,0)</f>
        <v>0</v>
      </c>
    </row>
    <row r="15" spans="2:6" ht="15" customHeight="1" x14ac:dyDescent="0.45">
      <c r="B15" s="54" t="s">
        <v>140</v>
      </c>
      <c r="C15" s="50">
        <f>$C$12+$C$13+$C$14</f>
        <v>0</v>
      </c>
    </row>
    <row r="16" spans="2:6" ht="15" customHeight="1" x14ac:dyDescent="0.45">
      <c r="B16" s="54" t="s">
        <v>141</v>
      </c>
      <c r="C16" s="50">
        <f>$C$13+$C$14</f>
        <v>0</v>
      </c>
    </row>
    <row r="17" spans="2:6" ht="15" customHeight="1" x14ac:dyDescent="0.45">
      <c r="B17" s="54" t="s">
        <v>142</v>
      </c>
      <c r="C17" s="51">
        <f>IFERROR($C$15/$C$5,0)</f>
        <v>0</v>
      </c>
    </row>
    <row r="18" spans="2:6" ht="15" customHeight="1" x14ac:dyDescent="0.45">
      <c r="B18" s="54" t="s">
        <v>143</v>
      </c>
      <c r="C18" s="52">
        <f>IFERROR(($C$16/$C$9)/$C$5,0)</f>
        <v>0</v>
      </c>
    </row>
    <row r="20" spans="2:6" ht="15" customHeight="1" x14ac:dyDescent="0.45">
      <c r="B20" s="6" t="s">
        <v>144</v>
      </c>
      <c r="C20" s="6"/>
      <c r="D20" s="6"/>
      <c r="E20" s="6"/>
      <c r="F20" s="6"/>
    </row>
    <row r="21" spans="2:6" ht="15" customHeight="1" x14ac:dyDescent="0.45">
      <c r="B21" s="6"/>
      <c r="C21" s="6"/>
      <c r="D21" s="6"/>
      <c r="E21" s="6"/>
      <c r="F21" s="6"/>
    </row>
    <row r="22" spans="2:6" ht="15" customHeight="1" x14ac:dyDescent="0.45">
      <c r="B22" s="6"/>
      <c r="C22" s="6"/>
      <c r="D22" s="6"/>
      <c r="E22" s="6"/>
      <c r="F22" s="6"/>
    </row>
  </sheetData>
  <sheetProtection password="CE4B" sheet="1" formatCells="0"/>
  <mergeCells count="7">
    <mergeCell ref="B20:F22"/>
    <mergeCell ref="B1:F1"/>
    <mergeCell ref="B2:F2"/>
    <mergeCell ref="B4:C4"/>
    <mergeCell ref="E4:F4"/>
    <mergeCell ref="B11:C11"/>
    <mergeCell ref="E11:F11"/>
  </mergeCells>
  <pageMargins left="0.75" right="0.75" top="1" bottom="1" header="0.511811023622047" footer="0.511811023622047"/>
  <pageSetup paperSize="9" orientation="portrait" horizontalDpi="300" verticalDpi="30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22"/>
  <sheetViews>
    <sheetView showGridLines="0" zoomScaleNormal="100" workbookViewId="0"/>
  </sheetViews>
  <sheetFormatPr defaultColWidth="8.6640625" defaultRowHeight="14.25" x14ac:dyDescent="0.45"/>
  <cols>
    <col min="1" max="1" width="2" customWidth="1"/>
    <col min="2" max="2" width="38" customWidth="1"/>
    <col min="3" max="3" width="16" customWidth="1"/>
    <col min="4" max="4" width="2" customWidth="1"/>
    <col min="5" max="5" width="40" customWidth="1"/>
  </cols>
  <sheetData>
    <row r="1" spans="2:5" ht="27.75" customHeight="1" x14ac:dyDescent="0.45">
      <c r="B1" s="67" t="s">
        <v>145</v>
      </c>
      <c r="C1" s="67"/>
      <c r="D1" s="67"/>
      <c r="E1" s="67"/>
    </row>
    <row r="2" spans="2:5" ht="15" customHeight="1" x14ac:dyDescent="0.45">
      <c r="B2" s="68" t="s">
        <v>146</v>
      </c>
      <c r="C2" s="68"/>
      <c r="D2" s="68"/>
      <c r="E2" s="68"/>
    </row>
    <row r="4" spans="2:5" ht="15" customHeight="1" x14ac:dyDescent="0.45">
      <c r="B4" s="5" t="s">
        <v>147</v>
      </c>
      <c r="C4" s="5"/>
      <c r="E4" s="16" t="s">
        <v>148</v>
      </c>
    </row>
    <row r="5" spans="2:5" ht="15" customHeight="1" x14ac:dyDescent="0.45">
      <c r="B5" s="54" t="s">
        <v>149</v>
      </c>
      <c r="C5" s="57">
        <f>'MF Analyzer'!$D$9</f>
        <v>0</v>
      </c>
      <c r="E5" s="69" t="s">
        <v>150</v>
      </c>
    </row>
    <row r="6" spans="2:5" ht="15" customHeight="1" x14ac:dyDescent="0.45">
      <c r="B6" s="54" t="s">
        <v>151</v>
      </c>
      <c r="C6" s="57">
        <f>'MF Analyzer'!$D$10</f>
        <v>0</v>
      </c>
      <c r="E6" s="69"/>
    </row>
    <row r="7" spans="2:5" ht="15" customHeight="1" x14ac:dyDescent="0.45">
      <c r="B7" s="54" t="s">
        <v>152</v>
      </c>
      <c r="C7" s="57">
        <f>0</f>
        <v>0</v>
      </c>
      <c r="E7" s="69"/>
    </row>
    <row r="8" spans="2:5" ht="15" customHeight="1" x14ac:dyDescent="0.45">
      <c r="B8" s="54" t="s">
        <v>153</v>
      </c>
      <c r="C8" s="29">
        <v>0.2</v>
      </c>
      <c r="E8" s="17" t="s">
        <v>154</v>
      </c>
    </row>
    <row r="9" spans="2:5" ht="15" customHeight="1" x14ac:dyDescent="0.45">
      <c r="B9" s="54" t="s">
        <v>155</v>
      </c>
      <c r="C9" s="29">
        <v>0.3</v>
      </c>
      <c r="E9" s="70" t="s">
        <v>156</v>
      </c>
    </row>
    <row r="10" spans="2:5" ht="15" customHeight="1" x14ac:dyDescent="0.45">
      <c r="B10" s="54" t="s">
        <v>157</v>
      </c>
      <c r="C10" s="29">
        <v>1</v>
      </c>
      <c r="E10" s="70"/>
    </row>
    <row r="11" spans="2:5" ht="15" customHeight="1" x14ac:dyDescent="0.45">
      <c r="B11" s="54" t="s">
        <v>158</v>
      </c>
      <c r="C11" s="29">
        <v>0.32</v>
      </c>
      <c r="E11" s="17"/>
    </row>
    <row r="12" spans="2:5" ht="15" customHeight="1" x14ac:dyDescent="0.45">
      <c r="E12" s="70"/>
    </row>
    <row r="13" spans="2:5" ht="15" customHeight="1" x14ac:dyDescent="0.45">
      <c r="B13" s="5" t="s">
        <v>159</v>
      </c>
      <c r="C13" s="5"/>
      <c r="E13" s="70"/>
    </row>
    <row r="14" spans="2:5" ht="15" customHeight="1" x14ac:dyDescent="0.45">
      <c r="B14" s="54" t="s">
        <v>160</v>
      </c>
      <c r="C14" s="57">
        <f>($C$5)*(1-$C$8)+$C$6</f>
        <v>0</v>
      </c>
      <c r="E14" s="70"/>
    </row>
    <row r="15" spans="2:5" ht="15" customHeight="1" x14ac:dyDescent="0.45">
      <c r="B15" s="54" t="s">
        <v>161</v>
      </c>
      <c r="C15" s="57">
        <f>$C$14*$C$9+$C$7</f>
        <v>0</v>
      </c>
    </row>
    <row r="16" spans="2:5" ht="15" customHeight="1" x14ac:dyDescent="0.45">
      <c r="B16" s="14" t="s">
        <v>162</v>
      </c>
      <c r="C16" s="58">
        <f>$C$15*$C$10</f>
        <v>0</v>
      </c>
    </row>
    <row r="17" spans="2:3" ht="15" customHeight="1" x14ac:dyDescent="0.45">
      <c r="B17" s="14" t="s">
        <v>163</v>
      </c>
      <c r="C17" s="58">
        <f>$C$16*$C$11</f>
        <v>0</v>
      </c>
    </row>
    <row r="19" spans="2:3" ht="15" customHeight="1" x14ac:dyDescent="0.45">
      <c r="B19" s="6" t="s">
        <v>164</v>
      </c>
      <c r="C19" s="6"/>
    </row>
    <row r="20" spans="2:3" ht="15" customHeight="1" x14ac:dyDescent="0.45">
      <c r="B20" s="6"/>
      <c r="C20" s="6"/>
    </row>
    <row r="21" spans="2:3" ht="15" customHeight="1" x14ac:dyDescent="0.45">
      <c r="B21" s="6"/>
      <c r="C21" s="6"/>
    </row>
    <row r="22" spans="2:3" ht="15" customHeight="1" x14ac:dyDescent="0.45">
      <c r="B22" s="6"/>
      <c r="C22" s="6"/>
    </row>
  </sheetData>
  <sheetProtection password="CE4B" sheet="1"/>
  <mergeCells count="8">
    <mergeCell ref="E12:E14"/>
    <mergeCell ref="B13:C13"/>
    <mergeCell ref="B19:C22"/>
    <mergeCell ref="B1:E1"/>
    <mergeCell ref="B2:E2"/>
    <mergeCell ref="B4:C4"/>
    <mergeCell ref="E5:E7"/>
    <mergeCell ref="E9:E10"/>
  </mergeCells>
  <hyperlinks>
    <hyperlink ref="E8" r:id="rId1" xr:uid="{00000000-0004-0000-0400-000000000000}"/>
  </hyperlinks>
  <pageMargins left="0.75" right="0.75" top="1" bottom="1" header="0.511811023622047" footer="0.511811023622047"/>
  <pageSetup paperSize="9" orientation="portrait" horizontalDpi="300" verticalDpi="300"/>
  <legacy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Start Here</vt:lpstr>
      <vt:lpstr>MF Analyzer</vt:lpstr>
      <vt:lpstr>10-Year Proforma</vt:lpstr>
      <vt:lpstr>Partnership Split</vt:lpstr>
      <vt:lpstr>Tax Savings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Jennifer Beadles</cp:lastModifiedBy>
  <cp:revision>0</cp:revision>
  <dcterms:created xsi:type="dcterms:W3CDTF">2026-06-23T21:34:59Z</dcterms:created>
  <dcterms:modified xsi:type="dcterms:W3CDTF">2026-06-25T01:16:04Z</dcterms:modified>
  <dc:language>en-US</dc:language>
</cp:coreProperties>
</file>